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630" windowWidth="25575" windowHeight="11700" tabRatio="852" activeTab="10"/>
  </bookViews>
  <sheets>
    <sheet name="Титульный" sheetId="2" r:id="rId1"/>
    <sheet name="Список территорий" sheetId="3" r:id="rId2"/>
    <sheet name="Дифференциация" sheetId="4" state="hidden" r:id="rId3"/>
    <sheet name="Перечень тарифов" sheetId="5"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r:id="rId11"/>
    <sheet name="ТС. Т-ТЭ | предел" sheetId="13" state="hidden" r:id="rId12"/>
    <sheet name="ТС. Т-ТЭ | индикат" sheetId="14" state="hidden" r:id="rId13"/>
    <sheet name="ТС. Резерв мощности" sheetId="15" state="hidden" r:id="rId14"/>
    <sheet name="ТС. Т-ТН" sheetId="16" r:id="rId15"/>
    <sheet name="ТС. Т-передача ТЭ" sheetId="17" state="hidden" r:id="rId16"/>
    <sheet name="ТС. Т-передача ТН" sheetId="18" state="hidden" r:id="rId17"/>
    <sheet name="ТС. Т-гор.вода" sheetId="19"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state="hidden" r:id="rId44"/>
    <sheet name="Договоры" sheetId="46" state="hidden" r:id="rId45"/>
    <sheet name="Порядок ТП" sheetId="47" state="hidden" r:id="rId46"/>
    <sheet name="Предложение" sheetId="48" r:id="rId47"/>
    <sheet name="Сведения о закупках" sheetId="49"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Проверка" sheetId="60" state="hidden" r:id="rId58"/>
    <sheet name="et_union_hor" sheetId="61" state="hidden" r:id="rId59"/>
    <sheet name="DATA_FORMS" sheetId="62" state="hidden" r:id="rId60"/>
    <sheet name="DATA_NPA" sheetId="63" state="hidden" r:id="rId61"/>
    <sheet name="Т-ТЭ | потр" sheetId="64" state="hidden" r:id="rId62"/>
    <sheet name="modMainProcedures" sheetId="65" state="hidden" r:id="rId63"/>
    <sheet name="modB_FHD" sheetId="66" state="hidden" r:id="rId64"/>
    <sheet name="modB_FHD20" sheetId="67" state="hidden" r:id="rId65"/>
    <sheet name="modB_KNE" sheetId="68" state="hidden" r:id="rId66"/>
    <sheet name="modIP_MAIN" sheetId="69" state="hidden" r:id="rId67"/>
    <sheet name="modIP_QRE" sheetId="70" state="hidden" r:id="rId68"/>
    <sheet name="modIP_DETAILED" sheetId="71" state="hidden" r:id="rId69"/>
    <sheet name="et_union_vert" sheetId="72" state="hidden" r:id="rId70"/>
    <sheet name="Легенда" sheetId="73" state="hidden" r:id="rId71"/>
    <sheet name="modfrmListIP" sheetId="74" state="hidden" r:id="rId72"/>
    <sheet name="modfrmActivity" sheetId="75" state="hidden" r:id="rId73"/>
    <sheet name="REESTR_ORG" sheetId="76" state="hidden" r:id="rId74"/>
    <sheet name="REESTR_MO" sheetId="77" state="hidden" r:id="rId75"/>
    <sheet name="REESTR_IP" sheetId="78" state="hidden" r:id="rId76"/>
    <sheet name="REESTR_OBJ_INFR" sheetId="79" state="hidden" r:id="rId77"/>
    <sheet name="REESTR_DS" sheetId="80" state="hidden" r:id="rId78"/>
    <sheet name="REESTR_VT" sheetId="81" state="hidden" r:id="rId79"/>
    <sheet name="REESTR_VED" sheetId="82" state="hidden" r:id="rId80"/>
    <sheet name="REESTR_MO_FILTER" sheetId="83" state="hidden" r:id="rId81"/>
    <sheet name="REESTR_LINK" sheetId="84" state="hidden" r:id="rId82"/>
    <sheet name="modSheetMain" sheetId="85" state="hidden" r:id="rId83"/>
    <sheet name="modfrmReportMode" sheetId="86" state="hidden" r:id="rId84"/>
    <sheet name="modfrmReestrObj" sheetId="87" state="hidden" r:id="rId85"/>
    <sheet name="AllSheetsInThisWorkbook" sheetId="88" state="hidden" r:id="rId86"/>
    <sheet name="modInfo" sheetId="89"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ТСО'!$208:$210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Т-ТН'!$324:$327</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ТСО'!$211:$214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Т-ТН'!$328:$331</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тарифов'!$179:$203</definedName>
    <definedName name="BLOCK_PT_HEAT">'Перечень тарифов'!$13:$177</definedName>
    <definedName name="BLOCK_PT_HEAT_NOT_R">'Перечень тарифов'!$163:$167</definedName>
    <definedName name="BLOCK_PT_HEAT_NOT_R_TMP">'Перечень тарифов'!$158:$162</definedName>
    <definedName name="BLOCK_PT_HEAT_PHEAT">'Перечень тарифов'!$59:$63</definedName>
    <definedName name="BLOCK_PT_HEAT_PHEAT_HIDDEN_FORMULAS">'Перечень тарифов'!$Z$59:$AQ$59</definedName>
    <definedName name="BLOCK_PT_HEAT_RHEAT">'Перечень тарифов'!$18:$58</definedName>
    <definedName name="BLOCK_PT_HEAT_RHEAT_HIDDEN_FORMULAS">'Перечень тарифов'!$Z$18:$AQ$18</definedName>
    <definedName name="BLOCK_PT_HOTVSNA">'Перечень тарифов'!$205:$219</definedName>
    <definedName name="BLOCK_PT_VOTV">'Перечень тарифов'!$221:$235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территорий'!$E$90:$I$90</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REESTR_DS!$B$2:$B$24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тарифов'!$Z$12:$Z$237</definedName>
    <definedName name="DIFFERENTIATION_TARIFF_VD_ID">'Перечень тарифов'!$AB$12:$AB$237</definedName>
    <definedName name="DIFFERENTIATION_TARIFF_VTAR_ID">'Перечень тарифов'!$AA$12:$AA$237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территорий'!$C$12:$C$90</definedName>
    <definedName name="pDel_LT_MO">'Список территорий'!$D$11:$D$90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территорий'!$G$90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ТСО'!$T$207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Т-ТН'!$T$323</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ТСО'!#REF!</definedName>
    <definedName name="pt_cs_31">'ТС. Т-ТЭ | ТСО'!$57:$66</definedName>
    <definedName name="pt_cs_32">'ТС. Т-ТЭ | ТСО'!$69:$78</definedName>
    <definedName name="pt_cs_33">'ТС. Т-ТЭ | ТСО'!$81:$90</definedName>
    <definedName name="pt_cs_34">'ТС. Т-ТЭ | ТСО'!$93:$102</definedName>
    <definedName name="pt_cs_35">'ТС. Т-ТЭ | ТСО'!$105:$114</definedName>
    <definedName name="pt_cs_36">'ТС. Т-ТЭ | ТСО'!$127:$136</definedName>
    <definedName name="pt_cs_37">'ТС. Т-ТЭ | ТСО'!$139:$148</definedName>
    <definedName name="pt_cs_38">'ТС. Т-ТЭ | ТСО'!$151:$160</definedName>
    <definedName name="pt_cs_39">'ТС. Т-ТЭ | ТСО'!$163:$172</definedName>
    <definedName name="pt_cs_4">'ТС. Т-гор.вода'!$51:$62</definedName>
    <definedName name="pt_cs_40">'ТС. Т-ТЭ | ТСО'!$175:$184</definedName>
    <definedName name="pt_cs_41">'ТС. Т-ТЭ | ТСО'!$115:$124</definedName>
    <definedName name="pt_cs_42">'ТС. Т-ТЭ | ТСО'!$185:$194</definedName>
    <definedName name="pt_cs_43">'ТС. Т-ТЭ | ТСО'!$195:$204</definedName>
    <definedName name="pt_cs_44">'ТС. Т-ТЭ | ТСО'!#REF!</definedName>
    <definedName name="pt_cs_45">'ТС. Т-ТЭ | ТСО'!#REF!</definedName>
    <definedName name="pt_cs_46">'ТС. Т-ТН'!$57:$66</definedName>
    <definedName name="pt_cs_47">'ТС. Т-ТН'!$69:$78</definedName>
    <definedName name="pt_cs_48">'ТС. Т-ТН'!$81:$90</definedName>
    <definedName name="pt_cs_5">'ТС. Т-передача ТЭ'!$45:$54</definedName>
    <definedName name="pt_cs_57">'ТС. Т-ТН'!$93:$102</definedName>
    <definedName name="pt_cs_58">'ТС. Т-ТН'!$105:$114</definedName>
    <definedName name="pt_cs_6">'ТС. Т-передача ТН'!$45:$54</definedName>
    <definedName name="pt_cs_62">'ТС. Т-ТН'!$117:$126</definedName>
    <definedName name="pt_cs_64">'ТС. Т-ТН'!$129:$138</definedName>
    <definedName name="pt_cs_65">'ТС. Т-ТН'!$141:$150</definedName>
    <definedName name="pt_cs_66">'ТС. Т-ТН'!$153:$162</definedName>
    <definedName name="pt_cs_67">'ТС. Т-ТН'!$165:$174</definedName>
    <definedName name="pt_cs_68">'ТС. Т-ТН'!$197:$206</definedName>
    <definedName name="pt_cs_69">'ТС. Т-ТН'!$209:$218</definedName>
    <definedName name="pt_cs_7">'ТС. Резерв мощности'!$45:$54</definedName>
    <definedName name="pt_cs_70">'ТС. Т-ТН'!#REF!</definedName>
    <definedName name="pt_cs_71">'ТС. Т-ТН'!$221:$230</definedName>
    <definedName name="pt_cs_72">'ТС. Т-ТН'!$233:$242</definedName>
    <definedName name="pt_cs_74">'ТС. Т-ТН'!#REF!</definedName>
    <definedName name="pt_cs_75">'ТС. Т-ТН'!$255:$264</definedName>
    <definedName name="pt_cs_76">'ТС. Т-ТН'!#REF!</definedName>
    <definedName name="pt_cs_77">'ТС. Т-ТН'!#REF!</definedName>
    <definedName name="pt_cs_78">'ТС. Т-ТН'!#REF!</definedName>
    <definedName name="pt_cs_79">'ТС. Т-ТН'!#REF!</definedName>
    <definedName name="pt_cs_8">'ТС. Т-подкл'!$47:$58</definedName>
    <definedName name="pt_cs_80">'ТС. Т-ТН'!#REF!</definedName>
    <definedName name="pt_cs_82">'ТС. Т-ТН'!#REF!</definedName>
    <definedName name="pt_cs_83">'ТС. Т-ТН'!#REF!</definedName>
    <definedName name="pt_cs_84">'ТС. Т-ТН'!#REF!</definedName>
    <definedName name="pt_cs_85">'ТС. Т-ТН'!$267:$276</definedName>
    <definedName name="pt_cs_86">'ТС. Т-ТН'!#REF!</definedName>
    <definedName name="pt_cs_87">'ТС. Т-ТН'!#REF!</definedName>
    <definedName name="pt_cs_88">'ТС. Т-ТН'!$243:$252</definedName>
    <definedName name="pt_cs_9">'ХВС. Т-пит'!$43:$50</definedName>
    <definedName name="pt_cs_90">'ТС. Т-ТН'!$299:$308</definedName>
    <definedName name="pt_cs_91">'ТС. Т-ТН'!$311:$320</definedName>
    <definedName name="pt_cs_92">'ТС. Т-ТН'!$175:$184</definedName>
    <definedName name="pt_cs_93">'ТС. Т-ТН'!$185:$194</definedName>
    <definedName name="pt_cs_94">'ТС. Т-ТН'!$277:$286</definedName>
    <definedName name="pt_cs_95">'ТС. Т-ТН'!$287:$296</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тарифов'!$AL$12:$AL$237</definedName>
    <definedName name="PT_DIFFERENTIATION_CS_ID">'Перечень тарифов'!$AF$12:$AF$237</definedName>
    <definedName name="PT_DIFFERENTIATION_IST_TE">'Перечень тарифов'!$AM$12:$AM$237</definedName>
    <definedName name="PT_DIFFERENTIATION_IST_TE_ID">'Перечень тарифов'!$AG$12:$AG$237</definedName>
    <definedName name="PT_DIFFERENTIATION_NTAR">'Перечень тарифов'!$AJ$12:$AJ$237</definedName>
    <definedName name="PT_DIFFERENTIATION_NTAR_ID">'Перечень тарифов'!$AD$12:$AD$237</definedName>
    <definedName name="PT_DIFFERENTIATION_NUM_CS">'Перечень тарифов'!$AP$12:$AP$237</definedName>
    <definedName name="PT_DIFFERENTIATION_NUM_IST_TE">'Перечень тарифов'!$AQ$12:$AQ$237</definedName>
    <definedName name="PT_DIFFERENTIATION_NUM_NTAR">'Перечень тарифов'!$AN$12:$AN$237</definedName>
    <definedName name="PT_DIFFERENTIATION_NUM_TER">'Перечень тарифов'!$AO$12:$AO$237</definedName>
    <definedName name="PT_DIFFERENTIATION_TER">'Перечень тарифов'!$AK$12:$AK$237</definedName>
    <definedName name="PT_DIFFERENTIATION_TER_ID">'Перечень тарифов'!$AE$12:$AE$237</definedName>
    <definedName name="PT_DIFFERENTIATION_VDET">'Перечень тарифов'!$AI$12:$AI$237</definedName>
    <definedName name="PT_DIFFERENTIATION_VTAR">'Перечень тарифов'!$AH$12:$AH$237</definedName>
    <definedName name="PT_DIFFERENTIATION_VTAR_ID">'Перечень тарифов'!$AC$12:$AC$237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тарифов'!$F$163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ТСО'!#REF!</definedName>
    <definedName name="pt_ist_te_31">'ТС. Т-ТЭ | ТСО'!$58:$65</definedName>
    <definedName name="pt_ist_te_32">'ТС. Т-ТЭ | ТСО'!$70:$77</definedName>
    <definedName name="pt_ist_te_33">'ТС. Т-ТЭ | ТСО'!$82:$89</definedName>
    <definedName name="pt_ist_te_34">'ТС. Т-ТЭ | ТСО'!$94:$101</definedName>
    <definedName name="pt_ist_te_35">'ТС. Т-ТЭ | ТСО'!$106:$113</definedName>
    <definedName name="pt_ist_te_36">'ТС. Т-ТЭ | ТСО'!$128:$135</definedName>
    <definedName name="pt_ist_te_37">'ТС. Т-ТЭ | ТСО'!$140:$147</definedName>
    <definedName name="pt_ist_te_38">'ТС. Т-ТЭ | ТСО'!$152:$159</definedName>
    <definedName name="pt_ist_te_39">'ТС. Т-ТЭ | ТСО'!$164:$171</definedName>
    <definedName name="pt_ist_te_4">'ТС. Т-гор.вода'!$52:$61</definedName>
    <definedName name="pt_ist_te_40">'ТС. Т-ТЭ | ТСО'!$176:$183</definedName>
    <definedName name="pt_ist_te_41">'ТС. Т-ТЭ | ТСО'!$116:$123</definedName>
    <definedName name="pt_ist_te_42">'ТС. Т-ТЭ | ТСО'!$186:$193</definedName>
    <definedName name="pt_ist_te_43">'ТС. Т-ТЭ | ТСО'!$196:$203</definedName>
    <definedName name="pt_ist_te_44">'ТС. Т-ТЭ | ТСО'!#REF!</definedName>
    <definedName name="pt_ist_te_45">'ТС. Т-ТЭ | ТСО'!#REF!</definedName>
    <definedName name="pt_ist_te_46">'ТС. Т-ТН'!$58:$65</definedName>
    <definedName name="pt_ist_te_47">'ТС. Т-ТН'!$70:$77</definedName>
    <definedName name="pt_ist_te_48">'ТС. Т-ТН'!$82:$89</definedName>
    <definedName name="pt_ist_te_49">'ТС. Т-ТН'!#REF!</definedName>
    <definedName name="pt_ist_te_5">'ТС. Т-передача ТЭ'!$46:$53</definedName>
    <definedName name="pt_ist_te_50">'ТС. Т-ТН'!#REF!</definedName>
    <definedName name="pt_ist_te_51">'ТС. Т-ТН'!#REF!</definedName>
    <definedName name="pt_ist_te_52">'ТС. Т-ТН'!#REF!</definedName>
    <definedName name="pt_ist_te_53">'ТС. Т-ТН'!#REF!</definedName>
    <definedName name="pt_ist_te_54">'ТС. Т-ТН'!#REF!</definedName>
    <definedName name="pt_ist_te_55">'ТС. Т-ТН'!#REF!</definedName>
    <definedName name="pt_ist_te_56">'ТС. Т-ТН'!#REF!</definedName>
    <definedName name="pt_ist_te_57">'ТС. Т-ТН'!$94:$101</definedName>
    <definedName name="pt_ist_te_58">'ТС. Т-ТН'!$106:$113</definedName>
    <definedName name="pt_ist_te_59">'ТС. Т-ТН'!#REF!</definedName>
    <definedName name="pt_ist_te_6">'ТС. Т-передача ТН'!$46:$53</definedName>
    <definedName name="pt_ist_te_60">'ТС. Т-ТН'!#REF!</definedName>
    <definedName name="pt_ist_te_61">'ТС. Т-ТН'!#REF!</definedName>
    <definedName name="pt_ist_te_62">'ТС. Т-ТН'!$118:$125</definedName>
    <definedName name="pt_ist_te_63">'ТС. Т-ТН'!#REF!</definedName>
    <definedName name="pt_ist_te_64">'ТС. Т-ТН'!$130:$137</definedName>
    <definedName name="pt_ist_te_65">'ТС. Т-ТН'!$142:$149</definedName>
    <definedName name="pt_ist_te_66">'ТС. Т-ТН'!$154:$161</definedName>
    <definedName name="pt_ist_te_67">'ТС. Т-ТН'!$166:$173</definedName>
    <definedName name="pt_ist_te_68">'ТС. Т-ТН'!$198:$205</definedName>
    <definedName name="pt_ist_te_69">'ТС. Т-ТН'!$210:$217</definedName>
    <definedName name="pt_ist_te_7">'ТС. Резерв мощности'!$46:$53</definedName>
    <definedName name="pt_ist_te_70">'ТС. Т-ТН'!#REF!</definedName>
    <definedName name="pt_ist_te_71">'ТС. Т-ТН'!$222:$229</definedName>
    <definedName name="pt_ist_te_72">'ТС. Т-ТН'!$234:$241</definedName>
    <definedName name="pt_ist_te_73">'ТС. Т-ТН'!#REF!</definedName>
    <definedName name="pt_ist_te_74">'ТС. Т-ТН'!#REF!</definedName>
    <definedName name="pt_ist_te_75">'ТС. Т-ТН'!$256:$263</definedName>
    <definedName name="pt_ist_te_76">'ТС. Т-ТН'!#REF!</definedName>
    <definedName name="pt_ist_te_77">'ТС. Т-ТН'!#REF!</definedName>
    <definedName name="pt_ist_te_78">'ТС. Т-ТН'!#REF!</definedName>
    <definedName name="pt_ist_te_79">'ТС. Т-ТН'!#REF!</definedName>
    <definedName name="pt_ist_te_8">'ТС. Т-подкл'!$48:$57</definedName>
    <definedName name="pt_ist_te_80">'ТС. Т-ТН'!#REF!</definedName>
    <definedName name="pt_ist_te_81">'ТС. Т-ТН'!#REF!</definedName>
    <definedName name="pt_ist_te_82">'ТС. Т-ТН'!#REF!</definedName>
    <definedName name="pt_ist_te_83">'ТС. Т-ТН'!#REF!</definedName>
    <definedName name="pt_ist_te_84">'ТС. Т-ТН'!#REF!</definedName>
    <definedName name="pt_ist_te_85">'ТС. Т-ТН'!$268:$275</definedName>
    <definedName name="pt_ist_te_86">'ТС. Т-ТН'!#REF!</definedName>
    <definedName name="pt_ist_te_87">'ТС. Т-ТН'!#REF!</definedName>
    <definedName name="pt_ist_te_88">'ТС. Т-ТН'!$244:$251</definedName>
    <definedName name="pt_ist_te_89">'ТС. Т-ТН'!#REF!</definedName>
    <definedName name="pt_ist_te_90">'ТС. Т-ТН'!$300:$307</definedName>
    <definedName name="pt_ist_te_91">'ТС. Т-ТН'!$312:$319</definedName>
    <definedName name="pt_ist_te_92">'ТС. Т-ТН'!$176:$183</definedName>
    <definedName name="pt_ist_te_93">'ТС. Т-ТН'!$186:$193</definedName>
    <definedName name="pt_ist_te_94">'ТС. Т-ТН'!$278:$285</definedName>
    <definedName name="pt_ist_te_95">'ТС. Т-ТН'!$288:$295</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ТСО'!$43:$206</definedName>
    <definedName name="pt_ntar_20">'ТС. Т-подкл(инд)'!$42:$55</definedName>
    <definedName name="pt_ntar_21">'ТС. Т-ТЭ | предел'!$43:$56</definedName>
    <definedName name="pt_ntar_21_1">'ТС. Т-ТЭ | индикат'!$43:$56</definedName>
    <definedName name="pt_ntar_3">'ТС. Т-ТН'!$43:$322</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ТСО'!#REF!</definedName>
    <definedName name="pt_ter_31">'ТС. Т-ТЭ | ТСО'!$56:$67</definedName>
    <definedName name="pt_ter_32">'ТС. Т-ТЭ | ТСО'!$68:$79</definedName>
    <definedName name="pt_ter_33">'ТС. Т-ТЭ | ТСО'!$80:$91</definedName>
    <definedName name="pt_ter_34">'ТС. Т-ТЭ | ТСО'!$92:$103</definedName>
    <definedName name="pt_ter_35">'ТС. Т-ТЭ | ТСО'!$104:$125</definedName>
    <definedName name="pt_ter_36">'ТС. Т-ТЭ | ТСО'!$126:$137</definedName>
    <definedName name="pt_ter_37">'ТС. Т-ТЭ | ТСО'!$138:$149</definedName>
    <definedName name="pt_ter_38">'ТС. Т-ТЭ | ТСО'!$150:$161</definedName>
    <definedName name="pt_ter_39">'ТС. Т-ТЭ | ТСО'!$162:$173</definedName>
    <definedName name="pt_ter_4">'ТС. Т-гор.вода'!$50:$63</definedName>
    <definedName name="pt_ter_40">'ТС. Т-ТЭ | ТСО'!$174:$205</definedName>
    <definedName name="pt_ter_41">'ТС. Т-ТЭ | ТСО'!#REF!</definedName>
    <definedName name="pt_ter_42">'ТС. Т-ТЭ | ТСО'!#REF!</definedName>
    <definedName name="pt_ter_43">'ТС. Т-ТН'!$56:$67</definedName>
    <definedName name="pt_ter_44">'ТС. Т-ТН'!$68:$79</definedName>
    <definedName name="pt_ter_45">'ТС. Т-ТН'!$80:$91</definedName>
    <definedName name="pt_ter_46">'ТС. Т-ТН'!$92:$103</definedName>
    <definedName name="pt_ter_47">'ТС. Т-ТН'!$104:$115</definedName>
    <definedName name="pt_ter_48">'ТС. Т-ТН'!$116:$127</definedName>
    <definedName name="pt_ter_49">'ТС. Т-ТН'!$128:$139</definedName>
    <definedName name="pt_ter_5">'ТС. Т-передача ТЭ'!$44:$55</definedName>
    <definedName name="pt_ter_50">'ТС. Т-ТН'!$140:$151</definedName>
    <definedName name="pt_ter_51">'ТС. Т-ТН'!$152:$163</definedName>
    <definedName name="pt_ter_52">'ТС. Т-ТН'!$164:$195</definedName>
    <definedName name="pt_ter_53">'ТС. Т-ТН'!$196:$207</definedName>
    <definedName name="pt_ter_54">'ТС. Т-ТН'!$208:$219</definedName>
    <definedName name="pt_ter_56">'ТС. Т-ТН'!$220:$231</definedName>
    <definedName name="pt_ter_57">'ТС. Т-ТН'!$232:$253</definedName>
    <definedName name="pt_ter_59">'ТС. Т-ТН'!$254:$265</definedName>
    <definedName name="pt_ter_6">'ТС. Т-передача ТН'!$44:$55</definedName>
    <definedName name="pt_ter_68">'ТС. Т-ТН'!$266:$297</definedName>
    <definedName name="pt_ter_7">'ТС. Резерв мощности'!$44:$55</definedName>
    <definedName name="pt_ter_71">'ТС. Т-ТН'!$298:$309</definedName>
    <definedName name="pt_ter_72">'ТС. Т-ТН'!$310:$321</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тарифов'!$W$236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ТСО'!$AL$208</definedName>
    <definedName name="tblEnd_1_TARIFF_B_COLDVSNA">'ХВС. Т-тех'!$AJ$54</definedName>
    <definedName name="tblEnd_1_TARIFF_B_HOTVSNA">'ГВС. Т-транс'!$AR$55</definedName>
    <definedName name="tblEnd_1_TARIFF_B_VOTV">'ВО. Т-транс'!$AJ$54</definedName>
    <definedName name="tblEnd_1_TARIFF_C">'ТС. Т-ТН'!$AL$324</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территорий'!$I$91</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территорий'!$G$16:$I$19</definedName>
    <definedName name="ter_51">'Список территорий'!$G$22:$I$25</definedName>
    <definedName name="ter_511">'Список территорий'!$G$28:$I$28</definedName>
    <definedName name="ter_5111">'Список территорий'!$G$31:$I$34</definedName>
    <definedName name="ter_51111">'Список территорий'!$G$37:$I$37</definedName>
    <definedName name="ter_511111">'Список территорий'!$G$40:$I$40</definedName>
    <definedName name="ter_5111111">'Список территорий'!$G$43:$I$43</definedName>
    <definedName name="ter_51111111">'Список территорий'!$G$46:$I$46</definedName>
    <definedName name="ter_511111111">'Список территорий'!$G$49:$I$49</definedName>
    <definedName name="ter_5111111111">'Список территорий'!$G$52:$I$52</definedName>
    <definedName name="ter_511111111111111">'Список территорий'!$G$55:$I$55</definedName>
    <definedName name="ter_5111111111111111">'Список территорий'!$G$58:$I$58</definedName>
    <definedName name="ter_51111111111111111">'Список территорий'!$G$61:$I$61</definedName>
    <definedName name="ter_511111111111111111">'Список территорий'!$G$64:$I$64</definedName>
    <definedName name="ter_5111111111111111111">'Список территорий'!$G$67:$I$67</definedName>
    <definedName name="ter_51111111111111111111">'Список территорий'!$G$70:$I$70</definedName>
    <definedName name="ter_511111111111111111111">'Список территорий'!$G$73:$I$73</definedName>
    <definedName name="ter_5111111111111111111111">'Список территорий'!$G$76:$I$76</definedName>
    <definedName name="ter_51111111111111111111111">'Список территорий'!$G$79:$I$79</definedName>
    <definedName name="ter_511111111111111111111111">'Список территорий'!$G$82:$I$82</definedName>
    <definedName name="ter_5111111111111111111111111">'Список территорий'!$G$85:$I$85</definedName>
    <definedName name="ter_51111111111111111111111111111">'Список территорий'!$G$88:$I$88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территорий'!$E$11:$I$90</definedName>
    <definedName name="TERRITORY_ID">TEHSHEET!$E$56</definedName>
    <definedName name="TERRITORY_LIST_ID">'Список территорий'!$F$11:$F$90</definedName>
    <definedName name="TERRITORY_MO_LIST">'Список территорий'!$H$11:$H$90</definedName>
    <definedName name="TERRITORY_MR_LIST">'Список территорий'!$G$11:$G$90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L22" i="63"/>
  <c r="K22" i="63"/>
  <c r="N22" i="63" s="1"/>
  <c r="J22" i="63"/>
  <c r="I22" i="63"/>
  <c r="N21" i="63"/>
  <c r="K21" i="63"/>
  <c r="J21" i="63"/>
  <c r="M21" i="63" s="1"/>
  <c r="F33" i="33" s="1"/>
  <c r="I21" i="63"/>
  <c r="L21" i="63" s="1"/>
  <c r="M20" i="63"/>
  <c r="L20" i="63"/>
  <c r="K20" i="63"/>
  <c r="N20" i="63" s="1"/>
  <c r="J20" i="63"/>
  <c r="I20" i="63"/>
  <c r="M19" i="63"/>
  <c r="K19" i="63"/>
  <c r="N19" i="63" s="1"/>
  <c r="J19" i="63"/>
  <c r="I19" i="63"/>
  <c r="L19" i="63" s="1"/>
  <c r="M18" i="63"/>
  <c r="L18" i="63"/>
  <c r="K18" i="63"/>
  <c r="N18" i="63" s="1"/>
  <c r="J18" i="63"/>
  <c r="I18" i="63"/>
  <c r="AA16" i="63"/>
  <c r="N16" i="63"/>
  <c r="N15" i="63"/>
  <c r="M15" i="63"/>
  <c r="N14" i="63"/>
  <c r="M14" i="63"/>
  <c r="AA13" i="63"/>
  <c r="N13" i="63"/>
  <c r="M13" i="63"/>
  <c r="N12" i="63"/>
  <c r="M12" i="63"/>
  <c r="N11" i="63"/>
  <c r="M11" i="63"/>
  <c r="N3" i="63"/>
  <c r="C34" i="62"/>
  <c r="C32" i="62"/>
  <c r="C31" i="62"/>
  <c r="C30" i="62"/>
  <c r="C29" i="62"/>
  <c r="C8" i="62"/>
  <c r="C7" i="62"/>
  <c r="D6" i="62"/>
  <c r="C6" i="62" s="1"/>
  <c r="E21" i="33"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G8" i="54"/>
  <c r="F8" i="54"/>
  <c r="L10" i="54" s="1"/>
  <c r="R10" i="54" s="1"/>
  <c r="R2" i="54"/>
  <c r="P2" i="54" a="1"/>
  <c r="P2" i="54" s="1"/>
  <c r="N9" i="53" a="1"/>
  <c r="N9" i="53" s="1"/>
  <c r="J9" i="53"/>
  <c r="P9" i="53" s="1"/>
  <c r="E5" i="53"/>
  <c r="P2" i="53"/>
  <c r="N2" i="53" a="1"/>
  <c r="N2" i="53"/>
  <c r="G24" i="52"/>
  <c r="G12" i="52"/>
  <c r="F12" i="52"/>
  <c r="F2" i="55" s="1"/>
  <c r="E12" i="52"/>
  <c r="D6" i="52"/>
  <c r="BA115" i="51"/>
  <c r="BA114" i="51"/>
  <c r="BA113" i="51"/>
  <c r="BA102" i="51"/>
  <c r="BA100" i="51"/>
  <c r="BA99" i="51"/>
  <c r="I53" i="51"/>
  <c r="I52" i="51"/>
  <c r="H52" i="51"/>
  <c r="G52" i="51"/>
  <c r="I51" i="51"/>
  <c r="H51" i="51"/>
  <c r="G51" i="51"/>
  <c r="E29" i="51" s="1"/>
  <c r="I50" i="51"/>
  <c r="I49" i="51"/>
  <c r="I48" i="51"/>
  <c r="J47" i="51"/>
  <c r="I47" i="51"/>
  <c r="J46" i="51"/>
  <c r="I46" i="51"/>
  <c r="K45" i="51"/>
  <c r="I45" i="51"/>
  <c r="G44" i="51"/>
  <c r="H48" i="51" s="1"/>
  <c r="G36" i="51"/>
  <c r="E31" i="62" s="1"/>
  <c r="F36" i="51"/>
  <c r="U15" i="63" s="1"/>
  <c r="F32" i="51"/>
  <c r="F29" i="51"/>
  <c r="L5" i="51"/>
  <c r="L4" i="51"/>
  <c r="L3" i="51"/>
  <c r="L6" i="51" s="1"/>
  <c r="I14" i="50"/>
  <c r="G14" i="50"/>
  <c r="G11" i="50"/>
  <c r="G10" i="50"/>
  <c r="G9" i="50"/>
  <c r="D6" i="50"/>
  <c r="E13" i="49"/>
  <c r="H12" i="49"/>
  <c r="E12" i="49"/>
  <c r="E11" i="49"/>
  <c r="E10" i="49"/>
  <c r="D6" i="49"/>
  <c r="D5" i="49"/>
  <c r="M270" i="48"/>
  <c r="F269" i="48"/>
  <c r="M209" i="48"/>
  <c r="F208" i="48"/>
  <c r="K154" i="48"/>
  <c r="M148" i="48"/>
  <c r="F147" i="48"/>
  <c r="K96" i="48"/>
  <c r="K93"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s="1"/>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J69" i="33"/>
  <c r="I69" i="33"/>
  <c r="H69" i="33"/>
  <c r="F69" i="33"/>
  <c r="E69" i="33"/>
  <c r="K69" i="33" s="1"/>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L48" i="19"/>
  <c r="AM48" i="19" s="1"/>
  <c r="AO48" i="19" s="1"/>
  <c r="AP48" i="19" s="1"/>
  <c r="AQ48" i="19" s="1"/>
  <c r="AK48" i="19"/>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Z42" i="17"/>
  <c r="AA42" i="17" s="1"/>
  <c r="AC42" i="17" s="1"/>
  <c r="AD42" i="17" s="1"/>
  <c r="Y42" i="17"/>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323" i="16"/>
  <c r="AP322" i="16"/>
  <c r="AP321" i="16"/>
  <c r="AP320" i="16"/>
  <c r="AP319" i="16"/>
  <c r="AP318" i="16"/>
  <c r="AP317" i="16"/>
  <c r="AP316" i="16"/>
  <c r="AG316" i="16"/>
  <c r="Y316" i="16"/>
  <c r="AP315" i="16"/>
  <c r="AP314" i="16"/>
  <c r="AP313" i="16"/>
  <c r="AP312" i="16"/>
  <c r="AP311" i="16"/>
  <c r="AP310" i="16"/>
  <c r="AP309" i="16"/>
  <c r="AP308" i="16"/>
  <c r="AP307" i="16"/>
  <c r="AP306" i="16"/>
  <c r="AP305" i="16"/>
  <c r="AP304" i="16"/>
  <c r="AG304" i="16"/>
  <c r="Y304" i="16"/>
  <c r="AP303" i="16"/>
  <c r="AP302" i="16"/>
  <c r="AP301" i="16"/>
  <c r="AP300" i="16"/>
  <c r="AP299" i="16"/>
  <c r="AP298" i="16"/>
  <c r="AP297" i="16"/>
  <c r="AP296" i="16"/>
  <c r="AP295" i="16"/>
  <c r="AP294" i="16"/>
  <c r="AP293" i="16"/>
  <c r="AP292" i="16"/>
  <c r="AG292" i="16"/>
  <c r="Y292" i="16"/>
  <c r="AP291" i="16"/>
  <c r="AP290" i="16"/>
  <c r="AP289" i="16"/>
  <c r="AP288" i="16"/>
  <c r="AP287" i="16"/>
  <c r="AP286" i="16"/>
  <c r="AP285" i="16"/>
  <c r="AP284" i="16"/>
  <c r="AP283" i="16"/>
  <c r="AP282" i="16"/>
  <c r="AG282" i="16"/>
  <c r="Y282" i="16"/>
  <c r="AP281" i="16"/>
  <c r="AP280" i="16"/>
  <c r="AP279" i="16"/>
  <c r="AP278" i="16"/>
  <c r="AP277" i="16"/>
  <c r="AP276" i="16"/>
  <c r="AP275" i="16"/>
  <c r="AP274" i="16"/>
  <c r="AP273" i="16"/>
  <c r="AP272" i="16"/>
  <c r="AG272" i="16"/>
  <c r="Y272" i="16"/>
  <c r="AP271" i="16"/>
  <c r="AP270" i="16"/>
  <c r="AP269" i="16"/>
  <c r="AP268" i="16"/>
  <c r="AP267" i="16"/>
  <c r="AP266" i="16"/>
  <c r="AP265" i="16"/>
  <c r="AP264" i="16"/>
  <c r="AP263" i="16"/>
  <c r="AP262" i="16"/>
  <c r="AP261" i="16"/>
  <c r="AP260" i="16"/>
  <c r="AG260" i="16"/>
  <c r="Y260" i="16"/>
  <c r="AP259" i="16"/>
  <c r="AP258" i="16"/>
  <c r="AP257" i="16"/>
  <c r="AP256" i="16"/>
  <c r="AP255" i="16"/>
  <c r="AP254" i="16"/>
  <c r="AP253" i="16"/>
  <c r="AP252" i="16"/>
  <c r="AP251" i="16"/>
  <c r="AP250" i="16"/>
  <c r="AP249" i="16"/>
  <c r="AP248" i="16"/>
  <c r="AG248" i="16"/>
  <c r="Y248" i="16"/>
  <c r="AP247" i="16"/>
  <c r="AP246" i="16"/>
  <c r="AP245" i="16"/>
  <c r="AP244" i="16"/>
  <c r="AP243" i="16"/>
  <c r="AP242" i="16"/>
  <c r="AP241" i="16"/>
  <c r="AP240" i="16"/>
  <c r="AP239" i="16"/>
  <c r="AP238" i="16"/>
  <c r="AG238" i="16"/>
  <c r="Y238" i="16"/>
  <c r="AP237" i="16"/>
  <c r="AP236" i="16"/>
  <c r="AP235" i="16"/>
  <c r="AP234" i="16"/>
  <c r="AP233" i="16"/>
  <c r="AP232" i="16"/>
  <c r="AP231" i="16"/>
  <c r="AP230" i="16"/>
  <c r="AP229" i="16"/>
  <c r="AP228" i="16"/>
  <c r="AP227" i="16"/>
  <c r="AP226" i="16"/>
  <c r="AG226" i="16"/>
  <c r="Y226" i="16"/>
  <c r="AP225" i="16"/>
  <c r="AP224" i="16"/>
  <c r="AP223" i="16"/>
  <c r="AP222" i="16"/>
  <c r="AP221" i="16"/>
  <c r="AP220" i="16"/>
  <c r="AP219" i="16"/>
  <c r="AP218" i="16"/>
  <c r="AP217" i="16"/>
  <c r="AP216" i="16"/>
  <c r="AP215" i="16"/>
  <c r="AP214" i="16"/>
  <c r="AG214" i="16"/>
  <c r="Y214" i="16"/>
  <c r="AP213" i="16"/>
  <c r="AP212" i="16"/>
  <c r="AP211" i="16"/>
  <c r="AP210" i="16"/>
  <c r="AP209" i="16"/>
  <c r="AP208" i="16"/>
  <c r="AP207" i="16"/>
  <c r="AP206" i="16"/>
  <c r="AP205" i="16"/>
  <c r="AP204" i="16"/>
  <c r="AP203" i="16"/>
  <c r="AP202" i="16"/>
  <c r="AG202" i="16"/>
  <c r="Y202" i="16"/>
  <c r="AP201" i="16"/>
  <c r="AP200" i="16"/>
  <c r="AP199" i="16"/>
  <c r="AP198" i="16"/>
  <c r="AP197" i="16"/>
  <c r="AP196" i="16"/>
  <c r="AP195" i="16"/>
  <c r="AP194" i="16"/>
  <c r="AP193" i="16"/>
  <c r="AP192" i="16"/>
  <c r="AP191" i="16"/>
  <c r="AP190" i="16"/>
  <c r="AG190" i="16"/>
  <c r="Y190" i="16"/>
  <c r="AP189" i="16"/>
  <c r="AP188" i="16"/>
  <c r="AP187" i="16"/>
  <c r="AP186" i="16"/>
  <c r="AP185" i="16"/>
  <c r="AP184" i="16"/>
  <c r="AP183" i="16"/>
  <c r="AP182" i="16"/>
  <c r="AP181" i="16"/>
  <c r="AP180" i="16"/>
  <c r="AG180" i="16"/>
  <c r="Y180" i="16"/>
  <c r="AP179" i="16"/>
  <c r="AP178" i="16"/>
  <c r="AP177" i="16"/>
  <c r="AP176" i="16"/>
  <c r="AP175" i="16"/>
  <c r="AP174" i="16"/>
  <c r="AP173" i="16"/>
  <c r="AP172" i="16"/>
  <c r="AP171" i="16"/>
  <c r="AP170" i="16"/>
  <c r="AG170" i="16"/>
  <c r="Y170" i="16"/>
  <c r="AP169" i="16"/>
  <c r="AP168" i="16"/>
  <c r="AP167" i="16"/>
  <c r="AP166" i="16"/>
  <c r="AP165" i="16"/>
  <c r="AP164" i="16"/>
  <c r="AP163" i="16"/>
  <c r="AP162" i="16"/>
  <c r="AP161" i="16"/>
  <c r="AP160" i="16"/>
  <c r="AP159" i="16"/>
  <c r="AP158" i="16"/>
  <c r="AG158" i="16"/>
  <c r="Y158" i="16"/>
  <c r="AP157" i="16"/>
  <c r="AP156" i="16"/>
  <c r="AP155" i="16"/>
  <c r="AP154" i="16"/>
  <c r="AP153" i="16"/>
  <c r="AP152" i="16"/>
  <c r="AP151" i="16"/>
  <c r="AP150" i="16"/>
  <c r="AP149" i="16"/>
  <c r="AP148" i="16"/>
  <c r="AP147" i="16"/>
  <c r="AP146" i="16"/>
  <c r="AG146" i="16"/>
  <c r="Y146" i="16"/>
  <c r="AP145" i="16"/>
  <c r="AP144" i="16"/>
  <c r="AP143" i="16"/>
  <c r="AP142" i="16"/>
  <c r="AP141" i="16"/>
  <c r="AP140" i="16"/>
  <c r="AP139" i="16"/>
  <c r="AP138" i="16"/>
  <c r="AP137" i="16"/>
  <c r="AP136" i="16"/>
  <c r="AP135" i="16"/>
  <c r="AP134" i="16"/>
  <c r="AG134" i="16"/>
  <c r="Y134" i="16"/>
  <c r="AP133" i="16"/>
  <c r="AP132" i="16"/>
  <c r="AP131" i="16"/>
  <c r="AP130" i="16"/>
  <c r="AP129" i="16"/>
  <c r="AP128" i="16"/>
  <c r="AP127" i="16"/>
  <c r="AP126" i="16"/>
  <c r="AP125" i="16"/>
  <c r="AP124" i="16"/>
  <c r="AP123" i="16"/>
  <c r="AP122" i="16"/>
  <c r="AG122" i="16"/>
  <c r="Y122" i="16"/>
  <c r="AP121" i="16"/>
  <c r="AP120" i="16"/>
  <c r="AP119" i="16"/>
  <c r="AP118" i="16"/>
  <c r="AP117" i="16"/>
  <c r="AP116" i="16"/>
  <c r="AP115" i="16"/>
  <c r="AP114" i="16"/>
  <c r="AP113" i="16"/>
  <c r="AP112" i="16"/>
  <c r="AP111" i="16"/>
  <c r="AP110" i="16"/>
  <c r="AG110" i="16"/>
  <c r="Y110" i="16"/>
  <c r="AP109" i="16"/>
  <c r="AP108" i="16"/>
  <c r="AP107" i="16"/>
  <c r="AP106" i="16"/>
  <c r="AP105" i="16"/>
  <c r="AP104" i="16"/>
  <c r="AP103" i="16"/>
  <c r="AP102" i="16"/>
  <c r="AP101" i="16"/>
  <c r="AP100" i="16"/>
  <c r="AP99" i="16"/>
  <c r="AP98" i="16"/>
  <c r="AG98" i="16"/>
  <c r="Y98" i="16"/>
  <c r="AP97" i="16"/>
  <c r="AP96" i="16"/>
  <c r="AP95" i="16"/>
  <c r="AP94" i="16"/>
  <c r="AP93" i="16"/>
  <c r="AP92" i="16"/>
  <c r="AP91" i="16"/>
  <c r="AP90" i="16"/>
  <c r="AP89" i="16"/>
  <c r="AP88" i="16"/>
  <c r="AP87" i="16"/>
  <c r="AP86" i="16"/>
  <c r="AG86" i="16"/>
  <c r="Y86" i="16"/>
  <c r="AP85" i="16"/>
  <c r="AP84" i="16"/>
  <c r="AP83" i="16"/>
  <c r="AP82" i="16"/>
  <c r="AP81" i="16"/>
  <c r="AP80" i="16"/>
  <c r="AP79" i="16"/>
  <c r="AP78" i="16"/>
  <c r="AP77" i="16"/>
  <c r="AP76" i="16"/>
  <c r="AP75" i="16"/>
  <c r="AP74" i="16"/>
  <c r="AG74" i="16"/>
  <c r="Y74" i="16"/>
  <c r="AP73" i="16"/>
  <c r="AP72" i="16"/>
  <c r="AP71" i="16"/>
  <c r="AP70" i="16"/>
  <c r="AP69" i="16"/>
  <c r="AP68" i="16"/>
  <c r="AP67" i="16"/>
  <c r="AP66" i="16"/>
  <c r="AP65" i="16"/>
  <c r="AP64" i="16"/>
  <c r="AP63" i="16"/>
  <c r="AP62" i="16"/>
  <c r="AG62" i="16"/>
  <c r="Y62" i="16"/>
  <c r="AP61" i="16"/>
  <c r="AP60" i="16"/>
  <c r="AP59" i="16"/>
  <c r="AP58" i="16"/>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207" i="12"/>
  <c r="AP206" i="12"/>
  <c r="AP205" i="12"/>
  <c r="AP204" i="12"/>
  <c r="AP203" i="12"/>
  <c r="AP202" i="12"/>
  <c r="AP201" i="12"/>
  <c r="AP200" i="12"/>
  <c r="AG200" i="12"/>
  <c r="Y200" i="12"/>
  <c r="AP199" i="12"/>
  <c r="AP198" i="12"/>
  <c r="AP197" i="12"/>
  <c r="AP196" i="12"/>
  <c r="AP195" i="12"/>
  <c r="AP194" i="12"/>
  <c r="AP193" i="12"/>
  <c r="AP192" i="12"/>
  <c r="AP191" i="12"/>
  <c r="AP190" i="12"/>
  <c r="AG190" i="12"/>
  <c r="Y190" i="12"/>
  <c r="AP189" i="12"/>
  <c r="AP188" i="12"/>
  <c r="AP187" i="12"/>
  <c r="AP186" i="12"/>
  <c r="AP185" i="12"/>
  <c r="AP184" i="12"/>
  <c r="AP183" i="12"/>
  <c r="AP182" i="12"/>
  <c r="AP181" i="12"/>
  <c r="AP180" i="12"/>
  <c r="AG180" i="12"/>
  <c r="Y180" i="12"/>
  <c r="AP179" i="12"/>
  <c r="AP178" i="12"/>
  <c r="AP177" i="12"/>
  <c r="AP176" i="12"/>
  <c r="AP175" i="12"/>
  <c r="AP174" i="12"/>
  <c r="AP173" i="12"/>
  <c r="AP172" i="12"/>
  <c r="AP171" i="12"/>
  <c r="AP170" i="12"/>
  <c r="AP169" i="12"/>
  <c r="AP168" i="12"/>
  <c r="AG168" i="12"/>
  <c r="Y168" i="12"/>
  <c r="AP167" i="12"/>
  <c r="AP166" i="12"/>
  <c r="AP165" i="12"/>
  <c r="AP164" i="12"/>
  <c r="AP163" i="12"/>
  <c r="AP162" i="12"/>
  <c r="AP161" i="12"/>
  <c r="AP160" i="12"/>
  <c r="AP159" i="12"/>
  <c r="AP158" i="12"/>
  <c r="AP157" i="12"/>
  <c r="AP156" i="12"/>
  <c r="AG156" i="12"/>
  <c r="Y156" i="12"/>
  <c r="AP155" i="12"/>
  <c r="AP154" i="12"/>
  <c r="AP153" i="12"/>
  <c r="AP152" i="12"/>
  <c r="AP151" i="12"/>
  <c r="AP150" i="12"/>
  <c r="AP149" i="12"/>
  <c r="AP148" i="12"/>
  <c r="AP147" i="12"/>
  <c r="AP146" i="12"/>
  <c r="AP145" i="12"/>
  <c r="AP144" i="12"/>
  <c r="AG144" i="12"/>
  <c r="Y144" i="12"/>
  <c r="AP143" i="12"/>
  <c r="AP142" i="12"/>
  <c r="AP141" i="12"/>
  <c r="AP140" i="12"/>
  <c r="AP139" i="12"/>
  <c r="AP138" i="12"/>
  <c r="AP137" i="12"/>
  <c r="AP136" i="12"/>
  <c r="AP135" i="12"/>
  <c r="AP134" i="12"/>
  <c r="AP133" i="12"/>
  <c r="AP132" i="12"/>
  <c r="AG132" i="12"/>
  <c r="Y132" i="12"/>
  <c r="AP131" i="12"/>
  <c r="AP130" i="12"/>
  <c r="AP129" i="12"/>
  <c r="AP128" i="12"/>
  <c r="AP127" i="12"/>
  <c r="AP126" i="12"/>
  <c r="AP125" i="12"/>
  <c r="AP124" i="12"/>
  <c r="AP123" i="12"/>
  <c r="AP122" i="12"/>
  <c r="AP121" i="12"/>
  <c r="AP120" i="12"/>
  <c r="AG120" i="12"/>
  <c r="Y120" i="12"/>
  <c r="AP119" i="12"/>
  <c r="AP118" i="12"/>
  <c r="AP117" i="12"/>
  <c r="AP116" i="12"/>
  <c r="AP115" i="12"/>
  <c r="AP114" i="12"/>
  <c r="AP113" i="12"/>
  <c r="AP112" i="12"/>
  <c r="AP111" i="12"/>
  <c r="AP110" i="12"/>
  <c r="AG110" i="12"/>
  <c r="Y110" i="12"/>
  <c r="AP109" i="12"/>
  <c r="AP108" i="12"/>
  <c r="AP107" i="12"/>
  <c r="AP106" i="12"/>
  <c r="AP105" i="12"/>
  <c r="AP104" i="12"/>
  <c r="AP103" i="12"/>
  <c r="AP102" i="12"/>
  <c r="AP101" i="12"/>
  <c r="AP100" i="12"/>
  <c r="AP99" i="12"/>
  <c r="AP98" i="12"/>
  <c r="AG98" i="12"/>
  <c r="Y98" i="12"/>
  <c r="AP97" i="12"/>
  <c r="AP96" i="12"/>
  <c r="AP95" i="12"/>
  <c r="AP94" i="12"/>
  <c r="AP93" i="12"/>
  <c r="AP92" i="12"/>
  <c r="AP91" i="12"/>
  <c r="AP90" i="12"/>
  <c r="AP89" i="12"/>
  <c r="AP88" i="12"/>
  <c r="AP87" i="12"/>
  <c r="AP86" i="12"/>
  <c r="AG86" i="12"/>
  <c r="Y86" i="12"/>
  <c r="AP85" i="12"/>
  <c r="AP84" i="12"/>
  <c r="AP83" i="12"/>
  <c r="AP82" i="12"/>
  <c r="AP81" i="12"/>
  <c r="AP80" i="12"/>
  <c r="AP79" i="12"/>
  <c r="AP78" i="12"/>
  <c r="AP77" i="12"/>
  <c r="AP76" i="12"/>
  <c r="AP75" i="12"/>
  <c r="AP74" i="12"/>
  <c r="AG74" i="12"/>
  <c r="Y74" i="12"/>
  <c r="AP73" i="12"/>
  <c r="AP72" i="12"/>
  <c r="AP71" i="12"/>
  <c r="AP70" i="12"/>
  <c r="AP69" i="12"/>
  <c r="AP68" i="12"/>
  <c r="AP67" i="12"/>
  <c r="AP66" i="12"/>
  <c r="AP65" i="12"/>
  <c r="AP64" i="12"/>
  <c r="AP63" i="12"/>
  <c r="AP62" i="12"/>
  <c r="AG62" i="12"/>
  <c r="Y62" i="12"/>
  <c r="AP61" i="12"/>
  <c r="AP60" i="12"/>
  <c r="AP59" i="12"/>
  <c r="AP58" i="12"/>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231" i="5"/>
  <c r="AP231" i="5"/>
  <c r="S48" i="29" s="1"/>
  <c r="K52" i="29" s="1"/>
  <c r="S52" i="29" s="1"/>
  <c r="AO231" i="5"/>
  <c r="S47" i="29" s="1"/>
  <c r="AN231" i="5"/>
  <c r="S46" i="29" s="1"/>
  <c r="AM231" i="5"/>
  <c r="AL231" i="5"/>
  <c r="AD48" i="29" s="1"/>
  <c r="AK231" i="5"/>
  <c r="AD47" i="29" s="1"/>
  <c r="AJ231" i="5"/>
  <c r="AI231" i="5"/>
  <c r="AH231" i="5"/>
  <c r="AQ226" i="5"/>
  <c r="AP226" i="5"/>
  <c r="S43" i="28" s="1"/>
  <c r="I44" i="28" s="1"/>
  <c r="AO226" i="5"/>
  <c r="S42" i="28" s="1"/>
  <c r="AN226" i="5"/>
  <c r="S41" i="28" s="1"/>
  <c r="AM226" i="5"/>
  <c r="AL226" i="5"/>
  <c r="AC43" i="28" s="1"/>
  <c r="AK226" i="5"/>
  <c r="AC42" i="28" s="1"/>
  <c r="AJ226" i="5"/>
  <c r="AI226" i="5"/>
  <c r="AH226" i="5"/>
  <c r="AQ221" i="5"/>
  <c r="AP221" i="5"/>
  <c r="S43" i="27" s="1"/>
  <c r="I44" i="27" s="1"/>
  <c r="AO221" i="5"/>
  <c r="S42" i="27" s="1"/>
  <c r="AN221" i="5"/>
  <c r="S41" i="27" s="1"/>
  <c r="AM221" i="5"/>
  <c r="AL221" i="5"/>
  <c r="AC43" i="27" s="1"/>
  <c r="AK221" i="5"/>
  <c r="AC42" i="27" s="1"/>
  <c r="AJ221" i="5"/>
  <c r="AI221" i="5"/>
  <c r="AH221" i="5"/>
  <c r="AQ215" i="5"/>
  <c r="AP215" i="5"/>
  <c r="S48" i="32" s="1"/>
  <c r="K52" i="32" s="1"/>
  <c r="S52" i="32" s="1"/>
  <c r="AO215" i="5"/>
  <c r="S47" i="32" s="1"/>
  <c r="AN215" i="5"/>
  <c r="S46" i="32" s="1"/>
  <c r="AM215" i="5"/>
  <c r="AL215" i="5"/>
  <c r="AD48" i="32" s="1"/>
  <c r="AK215" i="5"/>
  <c r="AD47" i="32" s="1"/>
  <c r="AJ215" i="5"/>
  <c r="AI215" i="5"/>
  <c r="AH215" i="5"/>
  <c r="AQ210" i="5"/>
  <c r="AP210" i="5"/>
  <c r="S44" i="31" s="1"/>
  <c r="I45" i="31" s="1"/>
  <c r="AO210" i="5"/>
  <c r="S43" i="31" s="1"/>
  <c r="AN210" i="5"/>
  <c r="S42" i="31" s="1"/>
  <c r="AM210" i="5"/>
  <c r="AL210" i="5"/>
  <c r="AG44" i="31" s="1"/>
  <c r="AK210" i="5"/>
  <c r="AG43" i="31" s="1"/>
  <c r="AJ210" i="5"/>
  <c r="AI210" i="5"/>
  <c r="AH210" i="5"/>
  <c r="AQ205" i="5"/>
  <c r="AP205" i="5"/>
  <c r="S44" i="30" s="1"/>
  <c r="I45" i="30" s="1"/>
  <c r="AO205" i="5"/>
  <c r="S43" i="30" s="1"/>
  <c r="AN205" i="5"/>
  <c r="S42" i="30" s="1"/>
  <c r="AM205" i="5"/>
  <c r="AL205" i="5"/>
  <c r="AG44" i="30" s="1"/>
  <c r="AK205" i="5"/>
  <c r="AG43" i="30" s="1"/>
  <c r="AJ205" i="5"/>
  <c r="AI205" i="5"/>
  <c r="AH205" i="5"/>
  <c r="AQ199" i="5"/>
  <c r="AP199" i="5"/>
  <c r="S48" i="26" s="1"/>
  <c r="K52" i="26" s="1"/>
  <c r="S52" i="26" s="1"/>
  <c r="AO199" i="5"/>
  <c r="S47" i="26" s="1"/>
  <c r="AN199" i="5"/>
  <c r="S46" i="26" s="1"/>
  <c r="AM199" i="5"/>
  <c r="AL199" i="5"/>
  <c r="AD48" i="26" s="1"/>
  <c r="AK199" i="5"/>
  <c r="AD47" i="26" s="1"/>
  <c r="AJ199" i="5"/>
  <c r="AI199" i="5"/>
  <c r="AH199" i="5"/>
  <c r="AQ194" i="5"/>
  <c r="AP194" i="5"/>
  <c r="S43" i="24" s="1"/>
  <c r="I44" i="24" s="1"/>
  <c r="AO194" i="5"/>
  <c r="S42" i="24" s="1"/>
  <c r="AN194" i="5"/>
  <c r="S41" i="24" s="1"/>
  <c r="AM194" i="5"/>
  <c r="AL194" i="5"/>
  <c r="AC43" i="24" s="1"/>
  <c r="AK194" i="5"/>
  <c r="AC42" i="24" s="1"/>
  <c r="AJ194" i="5"/>
  <c r="AI194" i="5"/>
  <c r="AH194" i="5"/>
  <c r="AQ189" i="5"/>
  <c r="AP189" i="5"/>
  <c r="S43" i="23" s="1"/>
  <c r="I44" i="23" s="1"/>
  <c r="AO189" i="5"/>
  <c r="S42" i="23" s="1"/>
  <c r="AN189" i="5"/>
  <c r="S41" i="23" s="1"/>
  <c r="AM189" i="5"/>
  <c r="AL189" i="5"/>
  <c r="AC43" i="23" s="1"/>
  <c r="AK189" i="5"/>
  <c r="AC42" i="23" s="1"/>
  <c r="AJ189" i="5"/>
  <c r="AI189" i="5"/>
  <c r="AH189" i="5"/>
  <c r="AQ184" i="5"/>
  <c r="AP184" i="5"/>
  <c r="S43" i="22" s="1"/>
  <c r="I44" i="22" s="1"/>
  <c r="AO184" i="5"/>
  <c r="S42" i="22" s="1"/>
  <c r="AN184" i="5"/>
  <c r="S41" i="22" s="1"/>
  <c r="AM184" i="5"/>
  <c r="AL184" i="5"/>
  <c r="AC43" i="22" s="1"/>
  <c r="AK184" i="5"/>
  <c r="AC42" i="22" s="1"/>
  <c r="AJ184" i="5"/>
  <c r="AI184" i="5"/>
  <c r="AH184" i="5"/>
  <c r="AQ179" i="5"/>
  <c r="AP179" i="5"/>
  <c r="S43" i="21" s="1"/>
  <c r="I44" i="21" s="1"/>
  <c r="AO179" i="5"/>
  <c r="S42" i="21" s="1"/>
  <c r="AN179" i="5"/>
  <c r="S41" i="21" s="1"/>
  <c r="AM179" i="5"/>
  <c r="AL179" i="5"/>
  <c r="AC43" i="21" s="1"/>
  <c r="AK179" i="5"/>
  <c r="AC42" i="21" s="1"/>
  <c r="AJ179" i="5"/>
  <c r="AI179" i="5"/>
  <c r="AH179" i="5"/>
  <c r="AQ163" i="5"/>
  <c r="S46" i="13" s="1"/>
  <c r="I47" i="13" s="1"/>
  <c r="AP163" i="5"/>
  <c r="S45" i="14" s="1"/>
  <c r="AO163" i="5"/>
  <c r="S44" i="14" s="1"/>
  <c r="AN163" i="5"/>
  <c r="S43" i="14" s="1"/>
  <c r="AM163" i="5"/>
  <c r="AD46" i="14" s="1"/>
  <c r="AL163" i="5"/>
  <c r="AD45" i="14" s="1"/>
  <c r="AK163" i="5"/>
  <c r="AD44" i="13" s="1"/>
  <c r="AJ163" i="5"/>
  <c r="AD43" i="13" s="1"/>
  <c r="AI163" i="5"/>
  <c r="AH163" i="5"/>
  <c r="AQ158" i="5"/>
  <c r="S45" i="25" s="1"/>
  <c r="AP158" i="5"/>
  <c r="S44" i="25" s="1"/>
  <c r="AO158" i="5"/>
  <c r="S43" i="25" s="1"/>
  <c r="AN158" i="5"/>
  <c r="S42" i="25" s="1"/>
  <c r="AM158" i="5"/>
  <c r="AC45" i="25" s="1"/>
  <c r="AL158" i="5"/>
  <c r="AC44" i="25" s="1"/>
  <c r="AK158" i="5"/>
  <c r="AC43" i="25" s="1"/>
  <c r="AJ158" i="5"/>
  <c r="AI158" i="5"/>
  <c r="AH158" i="5"/>
  <c r="AQ153" i="5"/>
  <c r="S48" i="20" s="1"/>
  <c r="AP153" i="5"/>
  <c r="S47" i="20" s="1"/>
  <c r="AO153" i="5"/>
  <c r="S46" i="20" s="1"/>
  <c r="AN153" i="5"/>
  <c r="S45" i="20" s="1"/>
  <c r="AM153" i="5"/>
  <c r="AB48" i="20" s="1"/>
  <c r="AL153" i="5"/>
  <c r="AB47" i="20" s="1"/>
  <c r="AK153" i="5"/>
  <c r="AB46" i="20" s="1"/>
  <c r="AJ153" i="5"/>
  <c r="AI153" i="5"/>
  <c r="AH153" i="5"/>
  <c r="AQ148" i="5"/>
  <c r="S46" i="15" s="1"/>
  <c r="I47" i="15" s="1"/>
  <c r="AP148" i="5"/>
  <c r="S45" i="15" s="1"/>
  <c r="AO148" i="5"/>
  <c r="S44" i="15" s="1"/>
  <c r="AN148" i="5"/>
  <c r="S43" i="15" s="1"/>
  <c r="AM148" i="5"/>
  <c r="AD46" i="15" s="1"/>
  <c r="AL148" i="5"/>
  <c r="AD45" i="15" s="1"/>
  <c r="AK148" i="5"/>
  <c r="AD44" i="15" s="1"/>
  <c r="AJ148" i="5"/>
  <c r="AI148" i="5"/>
  <c r="AH148" i="5"/>
  <c r="AQ143" i="5"/>
  <c r="S46" i="18" s="1"/>
  <c r="AP143" i="5"/>
  <c r="S45" i="18" s="1"/>
  <c r="AO143" i="5"/>
  <c r="S44" i="18" s="1"/>
  <c r="AN143" i="5"/>
  <c r="S43" i="18" s="1"/>
  <c r="AM143" i="5"/>
  <c r="AD46" i="18" s="1"/>
  <c r="AL143" i="5"/>
  <c r="AD45" i="18" s="1"/>
  <c r="AK143" i="5"/>
  <c r="AD44" i="18" s="1"/>
  <c r="AJ143" i="5"/>
  <c r="AI143" i="5"/>
  <c r="AH143" i="5"/>
  <c r="AQ138" i="5"/>
  <c r="S46" i="17" s="1"/>
  <c r="AP138" i="5"/>
  <c r="S45" i="17" s="1"/>
  <c r="AO138" i="5"/>
  <c r="S44" i="17" s="1"/>
  <c r="AN138" i="5"/>
  <c r="S43" i="17" s="1"/>
  <c r="AM138" i="5"/>
  <c r="AD46" i="17" s="1"/>
  <c r="AL138" i="5"/>
  <c r="AD45" i="17" s="1"/>
  <c r="AK138" i="5"/>
  <c r="AD44" i="17" s="1"/>
  <c r="AJ138" i="5"/>
  <c r="AI138" i="5"/>
  <c r="AH138" i="5"/>
  <c r="AQ133" i="5"/>
  <c r="U52" i="19" s="1"/>
  <c r="I53" i="19" s="1"/>
  <c r="J54" i="19" s="1"/>
  <c r="AP133" i="5"/>
  <c r="U51" i="19" s="1"/>
  <c r="AO133" i="5"/>
  <c r="U50" i="19" s="1"/>
  <c r="AN133" i="5"/>
  <c r="U49" i="19" s="1"/>
  <c r="AM133" i="5"/>
  <c r="AG52" i="19" s="1"/>
  <c r="AL133" i="5"/>
  <c r="AG51" i="19" s="1"/>
  <c r="AJ133" i="5"/>
  <c r="AH133" i="5"/>
  <c r="G133" i="5"/>
  <c r="AI133" i="5" s="1"/>
  <c r="AQ128" i="5"/>
  <c r="S312" i="16" s="1"/>
  <c r="I313" i="16" s="1"/>
  <c r="J314" i="16" s="1"/>
  <c r="AP128" i="5"/>
  <c r="S311" i="16" s="1"/>
  <c r="AO128" i="5"/>
  <c r="S310" i="16" s="1"/>
  <c r="AN128" i="5"/>
  <c r="AM128" i="5"/>
  <c r="AD312" i="16" s="1"/>
  <c r="AL128" i="5"/>
  <c r="AD311" i="16" s="1"/>
  <c r="AJ128" i="5"/>
  <c r="AH128" i="5"/>
  <c r="AQ125" i="5"/>
  <c r="S300" i="16" s="1"/>
  <c r="I301" i="16" s="1"/>
  <c r="J302" i="16" s="1"/>
  <c r="AP125" i="5"/>
  <c r="S299" i="16" s="1"/>
  <c r="AO125" i="5"/>
  <c r="S298" i="16" s="1"/>
  <c r="AN125" i="5"/>
  <c r="AM125" i="5"/>
  <c r="AD300" i="16" s="1"/>
  <c r="AL125" i="5"/>
  <c r="AD299" i="16" s="1"/>
  <c r="AJ125" i="5"/>
  <c r="AH125" i="5"/>
  <c r="AQ122" i="5"/>
  <c r="S288" i="16" s="1"/>
  <c r="I289" i="16" s="1"/>
  <c r="J290" i="16" s="1"/>
  <c r="AP122" i="5"/>
  <c r="S287" i="16" s="1"/>
  <c r="AO122" i="5"/>
  <c r="AN122" i="5"/>
  <c r="AM122" i="5"/>
  <c r="AD288" i="16" s="1"/>
  <c r="AL122" i="5"/>
  <c r="AD287" i="16" s="1"/>
  <c r="AJ122" i="5"/>
  <c r="AH122" i="5"/>
  <c r="AQ120" i="5"/>
  <c r="S278" i="16" s="1"/>
  <c r="I279" i="16" s="1"/>
  <c r="J280" i="16" s="1"/>
  <c r="AP120" i="5"/>
  <c r="S277" i="16" s="1"/>
  <c r="AO120" i="5"/>
  <c r="AN120" i="5"/>
  <c r="AM120" i="5"/>
  <c r="AD278" i="16" s="1"/>
  <c r="AL120" i="5"/>
  <c r="AD277" i="16" s="1"/>
  <c r="AJ120" i="5"/>
  <c r="AH120" i="5"/>
  <c r="AQ118" i="5"/>
  <c r="S268" i="16" s="1"/>
  <c r="I269" i="16" s="1"/>
  <c r="J270" i="16" s="1"/>
  <c r="AP118" i="5"/>
  <c r="S267" i="16" s="1"/>
  <c r="AO118" i="5"/>
  <c r="S266" i="16" s="1"/>
  <c r="AN118" i="5"/>
  <c r="AM118" i="5"/>
  <c r="AD268" i="16" s="1"/>
  <c r="AL118" i="5"/>
  <c r="AD267" i="16" s="1"/>
  <c r="AJ118" i="5"/>
  <c r="AH118" i="5"/>
  <c r="AQ115" i="5"/>
  <c r="S256" i="16" s="1"/>
  <c r="I257" i="16" s="1"/>
  <c r="J258" i="16" s="1"/>
  <c r="AP115" i="5"/>
  <c r="S255" i="16" s="1"/>
  <c r="AO115" i="5"/>
  <c r="S254" i="16" s="1"/>
  <c r="AN115" i="5"/>
  <c r="AM115" i="5"/>
  <c r="AD256" i="16" s="1"/>
  <c r="AL115" i="5"/>
  <c r="AD255" i="16" s="1"/>
  <c r="AJ115" i="5"/>
  <c r="AH115" i="5"/>
  <c r="AQ112" i="5"/>
  <c r="S244" i="16" s="1"/>
  <c r="I245" i="16" s="1"/>
  <c r="J246" i="16" s="1"/>
  <c r="AP112" i="5"/>
  <c r="S243" i="16" s="1"/>
  <c r="AO112" i="5"/>
  <c r="AN112" i="5"/>
  <c r="AM112" i="5"/>
  <c r="AD244" i="16" s="1"/>
  <c r="AL112" i="5"/>
  <c r="AD243" i="16" s="1"/>
  <c r="AJ112" i="5"/>
  <c r="AH112" i="5"/>
  <c r="AQ110" i="5"/>
  <c r="S234" i="16" s="1"/>
  <c r="I235" i="16" s="1"/>
  <c r="J236" i="16" s="1"/>
  <c r="AP110" i="5"/>
  <c r="S233" i="16" s="1"/>
  <c r="AO110" i="5"/>
  <c r="S232" i="16" s="1"/>
  <c r="AN110" i="5"/>
  <c r="AM110" i="5"/>
  <c r="AD234" i="16" s="1"/>
  <c r="AL110" i="5"/>
  <c r="AD233" i="16" s="1"/>
  <c r="AJ110" i="5"/>
  <c r="AH110" i="5"/>
  <c r="AQ107" i="5"/>
  <c r="S222" i="16" s="1"/>
  <c r="I223" i="16" s="1"/>
  <c r="J224" i="16" s="1"/>
  <c r="AP107" i="5"/>
  <c r="S221" i="16" s="1"/>
  <c r="AO107" i="5"/>
  <c r="S220" i="16" s="1"/>
  <c r="AN107" i="5"/>
  <c r="AM107" i="5"/>
  <c r="AD222" i="16" s="1"/>
  <c r="AL107" i="5"/>
  <c r="AD221" i="16" s="1"/>
  <c r="AJ107" i="5"/>
  <c r="AH107" i="5"/>
  <c r="AQ104" i="5"/>
  <c r="S210" i="16" s="1"/>
  <c r="I211" i="16" s="1"/>
  <c r="J212" i="16" s="1"/>
  <c r="AP104" i="5"/>
  <c r="S209" i="16" s="1"/>
  <c r="AO104" i="5"/>
  <c r="S208" i="16" s="1"/>
  <c r="AN104" i="5"/>
  <c r="AM104" i="5"/>
  <c r="AD210" i="16" s="1"/>
  <c r="AL104" i="5"/>
  <c r="AD209" i="16" s="1"/>
  <c r="AJ104" i="5"/>
  <c r="AH104" i="5"/>
  <c r="AQ101" i="5"/>
  <c r="S198" i="16" s="1"/>
  <c r="I199" i="16" s="1"/>
  <c r="J200" i="16" s="1"/>
  <c r="AP101" i="5"/>
  <c r="S197" i="16" s="1"/>
  <c r="AO101" i="5"/>
  <c r="S196" i="16" s="1"/>
  <c r="AN101" i="5"/>
  <c r="AM101" i="5"/>
  <c r="AD198" i="16" s="1"/>
  <c r="AL101" i="5"/>
  <c r="AD197" i="16" s="1"/>
  <c r="AJ101" i="5"/>
  <c r="AH101" i="5"/>
  <c r="AQ98" i="5"/>
  <c r="S186" i="16" s="1"/>
  <c r="I187" i="16" s="1"/>
  <c r="J188" i="16" s="1"/>
  <c r="AP98" i="5"/>
  <c r="S185" i="16" s="1"/>
  <c r="AO98" i="5"/>
  <c r="AN98" i="5"/>
  <c r="AM98" i="5"/>
  <c r="AD186" i="16" s="1"/>
  <c r="AL98" i="5"/>
  <c r="AD185" i="16" s="1"/>
  <c r="AJ98" i="5"/>
  <c r="AH98" i="5"/>
  <c r="AQ96" i="5"/>
  <c r="S176" i="16" s="1"/>
  <c r="I177" i="16" s="1"/>
  <c r="J178" i="16" s="1"/>
  <c r="AP96" i="5"/>
  <c r="S175" i="16" s="1"/>
  <c r="AO96" i="5"/>
  <c r="AN96" i="5"/>
  <c r="AM96" i="5"/>
  <c r="AD176" i="16" s="1"/>
  <c r="AL96" i="5"/>
  <c r="AD175" i="16" s="1"/>
  <c r="AJ96" i="5"/>
  <c r="AH96" i="5"/>
  <c r="AQ94" i="5"/>
  <c r="S166" i="16" s="1"/>
  <c r="I167" i="16" s="1"/>
  <c r="J168" i="16" s="1"/>
  <c r="AP94" i="5"/>
  <c r="S165" i="16" s="1"/>
  <c r="AO94" i="5"/>
  <c r="S164" i="16" s="1"/>
  <c r="AN94" i="5"/>
  <c r="AM94" i="5"/>
  <c r="AD166" i="16" s="1"/>
  <c r="AL94" i="5"/>
  <c r="AD165" i="16" s="1"/>
  <c r="AJ94" i="5"/>
  <c r="AH94" i="5"/>
  <c r="AQ91" i="5"/>
  <c r="S154" i="16" s="1"/>
  <c r="I155" i="16" s="1"/>
  <c r="J156" i="16" s="1"/>
  <c r="AP91" i="5"/>
  <c r="S153" i="16" s="1"/>
  <c r="AO91" i="5"/>
  <c r="S152" i="16" s="1"/>
  <c r="AN91" i="5"/>
  <c r="AM91" i="5"/>
  <c r="AD154" i="16" s="1"/>
  <c r="AL91" i="5"/>
  <c r="AD153" i="16" s="1"/>
  <c r="AJ91" i="5"/>
  <c r="AI91" i="5"/>
  <c r="AH91" i="5"/>
  <c r="AQ88" i="5"/>
  <c r="S142" i="16" s="1"/>
  <c r="I143" i="16" s="1"/>
  <c r="J144" i="16" s="1"/>
  <c r="AP88" i="5"/>
  <c r="S141" i="16" s="1"/>
  <c r="AO88" i="5"/>
  <c r="S140" i="16" s="1"/>
  <c r="AN88" i="5"/>
  <c r="AM88" i="5"/>
  <c r="AD142" i="16" s="1"/>
  <c r="AL88" i="5"/>
  <c r="AD141" i="16" s="1"/>
  <c r="AJ88" i="5"/>
  <c r="AH88" i="5"/>
  <c r="AQ85" i="5"/>
  <c r="S130" i="16" s="1"/>
  <c r="I131" i="16" s="1"/>
  <c r="J132" i="16" s="1"/>
  <c r="AP85" i="5"/>
  <c r="S129" i="16" s="1"/>
  <c r="AO85" i="5"/>
  <c r="S128" i="16" s="1"/>
  <c r="AN85" i="5"/>
  <c r="AM85" i="5"/>
  <c r="AD130" i="16" s="1"/>
  <c r="AL85" i="5"/>
  <c r="AD129" i="16" s="1"/>
  <c r="AJ85" i="5"/>
  <c r="AH85" i="5"/>
  <c r="N85" i="5"/>
  <c r="AK85" i="5" s="1"/>
  <c r="AD128" i="16" s="1"/>
  <c r="AQ82" i="5"/>
  <c r="S118" i="16" s="1"/>
  <c r="I119" i="16" s="1"/>
  <c r="J120" i="16" s="1"/>
  <c r="K121" i="16" s="1"/>
  <c r="S121" i="16" s="1"/>
  <c r="AP82" i="5"/>
  <c r="S117" i="16" s="1"/>
  <c r="AO82" i="5"/>
  <c r="S116" i="16" s="1"/>
  <c r="AN82" i="5"/>
  <c r="AM82" i="5"/>
  <c r="AD118" i="16" s="1"/>
  <c r="AL82" i="5"/>
  <c r="AD117" i="16" s="1"/>
  <c r="AJ82" i="5"/>
  <c r="AH82" i="5"/>
  <c r="AQ79" i="5"/>
  <c r="S106" i="16" s="1"/>
  <c r="I107" i="16" s="1"/>
  <c r="J108" i="16" s="1"/>
  <c r="AP79" i="5"/>
  <c r="S105" i="16" s="1"/>
  <c r="AO79" i="5"/>
  <c r="S104" i="16" s="1"/>
  <c r="AN79" i="5"/>
  <c r="AM79" i="5"/>
  <c r="AD106" i="16" s="1"/>
  <c r="AL79" i="5"/>
  <c r="AD105" i="16" s="1"/>
  <c r="AJ79" i="5"/>
  <c r="AI79" i="5"/>
  <c r="AH79" i="5"/>
  <c r="AQ76" i="5"/>
  <c r="S94" i="16" s="1"/>
  <c r="I95" i="16" s="1"/>
  <c r="J96" i="16" s="1"/>
  <c r="AP76" i="5"/>
  <c r="S93" i="16" s="1"/>
  <c r="AO76" i="5"/>
  <c r="S92" i="16" s="1"/>
  <c r="AN76" i="5"/>
  <c r="AM76" i="5"/>
  <c r="AD94" i="16" s="1"/>
  <c r="AL76" i="5"/>
  <c r="AD93" i="16" s="1"/>
  <c r="AJ76" i="5"/>
  <c r="AH76" i="5"/>
  <c r="AQ73" i="5"/>
  <c r="S82" i="16" s="1"/>
  <c r="I83" i="16" s="1"/>
  <c r="J84" i="16" s="1"/>
  <c r="AP73" i="5"/>
  <c r="S81" i="16" s="1"/>
  <c r="AO73" i="5"/>
  <c r="S80" i="16" s="1"/>
  <c r="AN73" i="5"/>
  <c r="AM73" i="5"/>
  <c r="AD82" i="16" s="1"/>
  <c r="AL73" i="5"/>
  <c r="AD81" i="16" s="1"/>
  <c r="AJ73" i="5"/>
  <c r="AH73" i="5"/>
  <c r="N73" i="5"/>
  <c r="AK73" i="5" s="1"/>
  <c r="AD80" i="16" s="1"/>
  <c r="AQ70" i="5"/>
  <c r="S70" i="16" s="1"/>
  <c r="I71" i="16" s="1"/>
  <c r="J72" i="16" s="1"/>
  <c r="AP70" i="5"/>
  <c r="S69" i="16" s="1"/>
  <c r="AO70" i="5"/>
  <c r="S68" i="16" s="1"/>
  <c r="AN70" i="5"/>
  <c r="AM70" i="5"/>
  <c r="AD70" i="16" s="1"/>
  <c r="AL70" i="5"/>
  <c r="AD69" i="16" s="1"/>
  <c r="AJ70" i="5"/>
  <c r="AH70" i="5"/>
  <c r="AQ67" i="5"/>
  <c r="S58" i="16" s="1"/>
  <c r="I59" i="16" s="1"/>
  <c r="J60" i="16" s="1"/>
  <c r="AP67" i="5"/>
  <c r="S57" i="16" s="1"/>
  <c r="AO67" i="5"/>
  <c r="S56" i="16" s="1"/>
  <c r="AN67" i="5"/>
  <c r="AM67" i="5"/>
  <c r="AD58" i="16" s="1"/>
  <c r="AL67" i="5"/>
  <c r="AD57" i="16" s="1"/>
  <c r="AJ67" i="5"/>
  <c r="AI67" i="5"/>
  <c r="AH67" i="5"/>
  <c r="AQ64" i="5"/>
  <c r="L22" i="64" s="1"/>
  <c r="F23" i="64" s="1"/>
  <c r="AP64" i="5"/>
  <c r="L21" i="64" s="1"/>
  <c r="AO64" i="5"/>
  <c r="L20" i="64" s="1"/>
  <c r="AN64" i="5"/>
  <c r="L19" i="64" s="1"/>
  <c r="AM64" i="5"/>
  <c r="O22" i="64" s="1"/>
  <c r="AL64" i="5"/>
  <c r="O21" i="64" s="1"/>
  <c r="AJ64" i="5"/>
  <c r="AH64" i="5"/>
  <c r="G64" i="5"/>
  <c r="AI125" i="5" s="1"/>
  <c r="AQ54" i="5"/>
  <c r="S196" i="12" s="1"/>
  <c r="I197" i="12" s="1"/>
  <c r="AP54" i="5"/>
  <c r="S195" i="12" s="1"/>
  <c r="AO54" i="5"/>
  <c r="AN54" i="5"/>
  <c r="AM54" i="5"/>
  <c r="AD196" i="12" s="1"/>
  <c r="AL54" i="5"/>
  <c r="AD195" i="12" s="1"/>
  <c r="AJ54" i="5"/>
  <c r="AH54" i="5"/>
  <c r="AQ52" i="5"/>
  <c r="S186" i="12" s="1"/>
  <c r="I187" i="12" s="1"/>
  <c r="AP52" i="5"/>
  <c r="S185" i="12" s="1"/>
  <c r="AO52" i="5"/>
  <c r="AN52" i="5"/>
  <c r="AM52" i="5"/>
  <c r="AD186" i="12" s="1"/>
  <c r="AL52" i="5"/>
  <c r="AD185" i="12" s="1"/>
  <c r="AJ52" i="5"/>
  <c r="AH52" i="5"/>
  <c r="AQ50" i="5"/>
  <c r="S176" i="12" s="1"/>
  <c r="I177" i="12" s="1"/>
  <c r="AP50" i="5"/>
  <c r="S175" i="12" s="1"/>
  <c r="AO50" i="5"/>
  <c r="S174" i="12" s="1"/>
  <c r="AN50" i="5"/>
  <c r="AM50" i="5"/>
  <c r="AD176" i="12" s="1"/>
  <c r="AL50" i="5"/>
  <c r="AD175" i="12" s="1"/>
  <c r="AJ50" i="5"/>
  <c r="AH50" i="5"/>
  <c r="AQ47" i="5"/>
  <c r="S164" i="12" s="1"/>
  <c r="I165" i="12" s="1"/>
  <c r="AP47" i="5"/>
  <c r="S163" i="12" s="1"/>
  <c r="AO47" i="5"/>
  <c r="S162" i="12" s="1"/>
  <c r="AN47" i="5"/>
  <c r="AM47" i="5"/>
  <c r="AD164" i="12" s="1"/>
  <c r="AL47" i="5"/>
  <c r="AD163" i="12" s="1"/>
  <c r="AJ47" i="5"/>
  <c r="AH47" i="5"/>
  <c r="N47" i="5"/>
  <c r="AK47" i="5" s="1"/>
  <c r="AD162" i="12" s="1"/>
  <c r="AQ44" i="5"/>
  <c r="S152" i="12" s="1"/>
  <c r="I153" i="12" s="1"/>
  <c r="AP44" i="5"/>
  <c r="S151" i="12" s="1"/>
  <c r="AO44" i="5"/>
  <c r="S150" i="12" s="1"/>
  <c r="AN44" i="5"/>
  <c r="AM44" i="5"/>
  <c r="AD152" i="12" s="1"/>
  <c r="AL44" i="5"/>
  <c r="AD151" i="12" s="1"/>
  <c r="AJ44" i="5"/>
  <c r="AH44" i="5"/>
  <c r="AQ41" i="5"/>
  <c r="S140" i="12" s="1"/>
  <c r="I141" i="12" s="1"/>
  <c r="AP41" i="5"/>
  <c r="S139" i="12" s="1"/>
  <c r="AO41" i="5"/>
  <c r="S138" i="12" s="1"/>
  <c r="AN41" i="5"/>
  <c r="AM41" i="5"/>
  <c r="AD140" i="12" s="1"/>
  <c r="AL41" i="5"/>
  <c r="AD139" i="12" s="1"/>
  <c r="AJ41" i="5"/>
  <c r="AH41" i="5"/>
  <c r="AQ38" i="5"/>
  <c r="S128" i="12" s="1"/>
  <c r="I129" i="12" s="1"/>
  <c r="AP38" i="5"/>
  <c r="S127" i="12" s="1"/>
  <c r="AO38" i="5"/>
  <c r="S126" i="12" s="1"/>
  <c r="AN38" i="5"/>
  <c r="AM38" i="5"/>
  <c r="AD128" i="12" s="1"/>
  <c r="AL38" i="5"/>
  <c r="AD127" i="12" s="1"/>
  <c r="AJ38" i="5"/>
  <c r="AH38" i="5"/>
  <c r="AQ35" i="5"/>
  <c r="S116" i="12" s="1"/>
  <c r="I117" i="12" s="1"/>
  <c r="AP35" i="5"/>
  <c r="S115" i="12" s="1"/>
  <c r="AO35" i="5"/>
  <c r="AN35" i="5"/>
  <c r="AM35" i="5"/>
  <c r="AD116" i="12" s="1"/>
  <c r="AL35" i="5"/>
  <c r="AD115" i="12" s="1"/>
  <c r="AJ35" i="5"/>
  <c r="AH35" i="5"/>
  <c r="AQ33" i="5"/>
  <c r="S106" i="12" s="1"/>
  <c r="I107" i="12" s="1"/>
  <c r="AP33" i="5"/>
  <c r="S105" i="12" s="1"/>
  <c r="AO33" i="5"/>
  <c r="S104" i="12" s="1"/>
  <c r="AN33" i="5"/>
  <c r="AM33" i="5"/>
  <c r="AD106" i="12" s="1"/>
  <c r="AL33" i="5"/>
  <c r="AD105" i="12" s="1"/>
  <c r="AJ33" i="5"/>
  <c r="AH33" i="5"/>
  <c r="AQ30" i="5"/>
  <c r="S94" i="12" s="1"/>
  <c r="I95" i="12" s="1"/>
  <c r="AP30" i="5"/>
  <c r="S93" i="12" s="1"/>
  <c r="AO30" i="5"/>
  <c r="S92" i="12" s="1"/>
  <c r="AN30" i="5"/>
  <c r="AM30" i="5"/>
  <c r="AD94" i="12" s="1"/>
  <c r="AL30" i="5"/>
  <c r="AD93" i="12" s="1"/>
  <c r="AJ30" i="5"/>
  <c r="AH30" i="5"/>
  <c r="AQ27" i="5"/>
  <c r="S82" i="12" s="1"/>
  <c r="I83" i="12" s="1"/>
  <c r="AP27" i="5"/>
  <c r="S81" i="12" s="1"/>
  <c r="AO27" i="5"/>
  <c r="S80" i="12" s="1"/>
  <c r="AN27" i="5"/>
  <c r="AM27" i="5"/>
  <c r="AD82" i="12" s="1"/>
  <c r="AL27" i="5"/>
  <c r="AD81" i="12" s="1"/>
  <c r="AJ27" i="5"/>
  <c r="AH27" i="5"/>
  <c r="N27" i="5"/>
  <c r="AK27" i="5" s="1"/>
  <c r="AD80" i="12" s="1"/>
  <c r="AQ24" i="5"/>
  <c r="S70" i="12" s="1"/>
  <c r="I71" i="12" s="1"/>
  <c r="AP24" i="5"/>
  <c r="S69" i="12" s="1"/>
  <c r="AO24" i="5"/>
  <c r="S68" i="12" s="1"/>
  <c r="AN24" i="5"/>
  <c r="AM24" i="5"/>
  <c r="AD70" i="12" s="1"/>
  <c r="AL24" i="5"/>
  <c r="AD69" i="12" s="1"/>
  <c r="AJ24" i="5"/>
  <c r="AH24" i="5"/>
  <c r="AQ21" i="5"/>
  <c r="S58" i="12" s="1"/>
  <c r="I59" i="12" s="1"/>
  <c r="AP21" i="5"/>
  <c r="S57" i="12" s="1"/>
  <c r="AO21" i="5"/>
  <c r="S56" i="12" s="1"/>
  <c r="AN21" i="5"/>
  <c r="AM21" i="5"/>
  <c r="AD58" i="12" s="1"/>
  <c r="AL21" i="5"/>
  <c r="AD57" i="12" s="1"/>
  <c r="AJ21" i="5"/>
  <c r="AH21" i="5"/>
  <c r="AQ18" i="5"/>
  <c r="S46" i="12" s="1"/>
  <c r="I47" i="12" s="1"/>
  <c r="AP18" i="5"/>
  <c r="S45" i="12" s="1"/>
  <c r="AO18" i="5"/>
  <c r="S44" i="12" s="1"/>
  <c r="AN18" i="5"/>
  <c r="S43" i="12" s="1"/>
  <c r="AM18" i="5"/>
  <c r="AD46" i="12" s="1"/>
  <c r="AL18" i="5"/>
  <c r="AD45" i="12" s="1"/>
  <c r="AJ18" i="5"/>
  <c r="AD43" i="12" s="1"/>
  <c r="AH18" i="5"/>
  <c r="G18" i="5"/>
  <c r="AI47"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88" i="3"/>
  <c r="M88" i="3" a="1"/>
  <c r="M88" i="3"/>
  <c r="E88" i="3"/>
  <c r="G87" i="3"/>
  <c r="N115" i="5" s="1"/>
  <c r="AK115" i="5" s="1"/>
  <c r="AD254" i="16" s="1"/>
  <c r="E87" i="3"/>
  <c r="O85" i="3"/>
  <c r="M85" i="3" a="1"/>
  <c r="M85" i="3"/>
  <c r="E85" i="3"/>
  <c r="G84" i="3"/>
  <c r="N104" i="5" s="1"/>
  <c r="AK104" i="5" s="1"/>
  <c r="AD208" i="16" s="1"/>
  <c r="E84" i="3"/>
  <c r="O82" i="3"/>
  <c r="M82" i="3" a="1"/>
  <c r="M82" i="3"/>
  <c r="E82" i="3"/>
  <c r="G81" i="3"/>
  <c r="N101" i="5" s="1"/>
  <c r="AK101" i="5" s="1"/>
  <c r="AD196" i="16" s="1"/>
  <c r="E81" i="3"/>
  <c r="O79" i="3"/>
  <c r="M79" i="3" a="1"/>
  <c r="M79" i="3"/>
  <c r="E79" i="3"/>
  <c r="G78" i="3"/>
  <c r="N94" i="5" s="1"/>
  <c r="E78" i="3"/>
  <c r="O76" i="3"/>
  <c r="M76" i="3" a="1"/>
  <c r="M76" i="3"/>
  <c r="E76" i="3"/>
  <c r="G75" i="3"/>
  <c r="N88" i="5" s="1"/>
  <c r="AK88" i="5" s="1"/>
  <c r="AD140" i="16" s="1"/>
  <c r="E75" i="3"/>
  <c r="O73" i="3"/>
  <c r="M73" i="3" a="1"/>
  <c r="M73" i="3"/>
  <c r="E73" i="3"/>
  <c r="G72" i="3"/>
  <c r="E72" i="3"/>
  <c r="O70" i="3"/>
  <c r="M70" i="3" a="1"/>
  <c r="M70" i="3"/>
  <c r="E70" i="3"/>
  <c r="G69" i="3"/>
  <c r="N82" i="5" s="1"/>
  <c r="AK82" i="5" s="1"/>
  <c r="AD116" i="16" s="1"/>
  <c r="E69" i="3"/>
  <c r="O67" i="3"/>
  <c r="M67" i="3" a="1"/>
  <c r="M67" i="3"/>
  <c r="E67" i="3"/>
  <c r="G66" i="3"/>
  <c r="N79" i="5" s="1"/>
  <c r="AK79" i="5" s="1"/>
  <c r="AD104" i="16" s="1"/>
  <c r="E66" i="3"/>
  <c r="O64" i="3"/>
  <c r="M64" i="3" a="1"/>
  <c r="M64" i="3"/>
  <c r="E64" i="3"/>
  <c r="G63" i="3"/>
  <c r="N76" i="5" s="1"/>
  <c r="AK76" i="5" s="1"/>
  <c r="AD92" i="16" s="1"/>
  <c r="E63" i="3"/>
  <c r="O61" i="3"/>
  <c r="M61" i="3" a="1"/>
  <c r="M61" i="3"/>
  <c r="E61" i="3"/>
  <c r="G60" i="3"/>
  <c r="E60" i="3"/>
  <c r="O58" i="3"/>
  <c r="M58" i="3" a="1"/>
  <c r="M58" i="3"/>
  <c r="E58" i="3"/>
  <c r="G57" i="3"/>
  <c r="N70" i="5" s="1"/>
  <c r="AK70" i="5" s="1"/>
  <c r="AD68" i="16" s="1"/>
  <c r="E57" i="3"/>
  <c r="O55" i="3"/>
  <c r="M55" i="3" a="1"/>
  <c r="M55" i="3"/>
  <c r="E55" i="3"/>
  <c r="G54" i="3"/>
  <c r="N67" i="5" s="1"/>
  <c r="AK67" i="5" s="1"/>
  <c r="AD56" i="16" s="1"/>
  <c r="E54" i="3"/>
  <c r="O52" i="3"/>
  <c r="M52" i="3" a="1"/>
  <c r="M52" i="3"/>
  <c r="E52" i="3"/>
  <c r="G51" i="3"/>
  <c r="N118" i="5" s="1"/>
  <c r="E51" i="3"/>
  <c r="O49" i="3"/>
  <c r="M49" i="3" a="1"/>
  <c r="M49" i="3"/>
  <c r="E49" i="3"/>
  <c r="G48" i="3"/>
  <c r="N128" i="5" s="1"/>
  <c r="AK128" i="5" s="1"/>
  <c r="AD310" i="16" s="1"/>
  <c r="E48" i="3"/>
  <c r="O46" i="3"/>
  <c r="M46" i="3" a="1"/>
  <c r="M46" i="3"/>
  <c r="E46" i="3"/>
  <c r="G45" i="3"/>
  <c r="N44" i="5" s="1"/>
  <c r="AK44" i="5" s="1"/>
  <c r="AD150" i="12" s="1"/>
  <c r="E45" i="3"/>
  <c r="O43" i="3"/>
  <c r="M43" i="3" a="1"/>
  <c r="M43" i="3"/>
  <c r="E43" i="3"/>
  <c r="G42" i="3"/>
  <c r="N41" i="5" s="1"/>
  <c r="AK41" i="5" s="1"/>
  <c r="AD138" i="12" s="1"/>
  <c r="E42" i="3"/>
  <c r="O40" i="3"/>
  <c r="M40" i="3" a="1"/>
  <c r="M40" i="3"/>
  <c r="E40" i="3"/>
  <c r="G39" i="3"/>
  <c r="N107" i="5" s="1"/>
  <c r="AK107" i="5" s="1"/>
  <c r="AD220" i="16" s="1"/>
  <c r="E39" i="3"/>
  <c r="O37" i="3"/>
  <c r="M37" i="3" a="1"/>
  <c r="M37" i="3"/>
  <c r="E37" i="3"/>
  <c r="G36" i="3"/>
  <c r="N33" i="5" s="1"/>
  <c r="E36" i="3"/>
  <c r="O34" i="3"/>
  <c r="M34" i="3" a="1"/>
  <c r="M34" i="3"/>
  <c r="E34" i="3"/>
  <c r="O33" i="3"/>
  <c r="M33" i="3" a="1"/>
  <c r="M33" i="3"/>
  <c r="E33" i="3"/>
  <c r="O32" i="3"/>
  <c r="M32" i="3" a="1"/>
  <c r="M32" i="3"/>
  <c r="E32" i="3"/>
  <c r="O31" i="3"/>
  <c r="M31" i="3" a="1"/>
  <c r="M31" i="3"/>
  <c r="E31" i="3"/>
  <c r="G30" i="3"/>
  <c r="N30" i="5" s="1"/>
  <c r="AK30" i="5" s="1"/>
  <c r="AD92" i="12" s="1"/>
  <c r="E30" i="3"/>
  <c r="O28" i="3"/>
  <c r="M28" i="3" a="1"/>
  <c r="M28" i="3"/>
  <c r="E28" i="3"/>
  <c r="G27" i="3"/>
  <c r="N91" i="5" s="1"/>
  <c r="AK91" i="5" s="1"/>
  <c r="AD152" i="16" s="1"/>
  <c r="E27" i="3"/>
  <c r="O25" i="3"/>
  <c r="M25" i="3" a="1"/>
  <c r="M25" i="3"/>
  <c r="E25" i="3"/>
  <c r="O24" i="3"/>
  <c r="M24" i="3" a="1"/>
  <c r="M24" i="3"/>
  <c r="E24" i="3"/>
  <c r="O23" i="3"/>
  <c r="M23" i="3" a="1"/>
  <c r="M23" i="3"/>
  <c r="E23" i="3"/>
  <c r="O22" i="3"/>
  <c r="M22" i="3" a="1"/>
  <c r="M22" i="3"/>
  <c r="E22" i="3"/>
  <c r="G21" i="3"/>
  <c r="N24" i="5" s="1"/>
  <c r="AK24" i="5" s="1"/>
  <c r="AD68" i="12" s="1"/>
  <c r="E21" i="3"/>
  <c r="O19" i="3"/>
  <c r="M19" i="3" a="1"/>
  <c r="M19" i="3"/>
  <c r="E19" i="3"/>
  <c r="O18" i="3"/>
  <c r="M18" i="3" a="1"/>
  <c r="M18" i="3"/>
  <c r="E18" i="3"/>
  <c r="O17" i="3"/>
  <c r="M17" i="3" a="1"/>
  <c r="M17" i="3"/>
  <c r="E17" i="3"/>
  <c r="O16" i="3"/>
  <c r="M16" i="3" a="1"/>
  <c r="M16" i="3"/>
  <c r="E16" i="3"/>
  <c r="G15" i="3"/>
  <c r="N21" i="5" s="1"/>
  <c r="AK21" i="5" s="1"/>
  <c r="AD56" i="12" s="1"/>
  <c r="E15" i="3"/>
  <c r="O13" i="3"/>
  <c r="M13" i="3" a="1"/>
  <c r="M13" i="3"/>
  <c r="E13" i="3"/>
  <c r="E12" i="3"/>
  <c r="G12" i="3" s="1"/>
  <c r="E4" i="3"/>
  <c r="E59" i="2"/>
  <c r="E49" i="2"/>
  <c r="E41" i="2"/>
  <c r="E31" i="2"/>
  <c r="E27" i="2"/>
  <c r="E26" i="2"/>
  <c r="F25" i="2"/>
  <c r="E22" i="2"/>
  <c r="E21" i="2"/>
  <c r="F20" i="2"/>
  <c r="E19" i="2"/>
  <c r="I9" i="2"/>
  <c r="E3" i="2"/>
  <c r="E2" i="2"/>
  <c r="Y25" i="64"/>
  <c r="M10" i="54"/>
  <c r="M10" i="55"/>
  <c r="M2" i="55"/>
  <c r="M2" i="54"/>
  <c r="AL46" i="27"/>
  <c r="AL46" i="24"/>
  <c r="AL7" i="23"/>
  <c r="AT47" i="31"/>
  <c r="AL46" i="23"/>
  <c r="AL7" i="22"/>
  <c r="AT7" i="31"/>
  <c r="AT47" i="30"/>
  <c r="AL7" i="28"/>
  <c r="AL48" i="25"/>
  <c r="AL46" i="22"/>
  <c r="AL7" i="21"/>
  <c r="AV51" i="20"/>
  <c r="AT7" i="30"/>
  <c r="AL46" i="28"/>
  <c r="AL7" i="27"/>
  <c r="AL8" i="25"/>
  <c r="AL7" i="24"/>
  <c r="AL46" i="21"/>
  <c r="AN49" i="18"/>
  <c r="AN49" i="17"/>
  <c r="AN315" i="16"/>
  <c r="AN291" i="16"/>
  <c r="AN271" i="16"/>
  <c r="AN247" i="16"/>
  <c r="AN225" i="16"/>
  <c r="AN201" i="16"/>
  <c r="AN179" i="16"/>
  <c r="AN157" i="16"/>
  <c r="AN133" i="16"/>
  <c r="AN109" i="16"/>
  <c r="AR8" i="19"/>
  <c r="AN8" i="18"/>
  <c r="AN8" i="17"/>
  <c r="AR56" i="19"/>
  <c r="AR55" i="19"/>
  <c r="AN303" i="16"/>
  <c r="AN281" i="16"/>
  <c r="AN259" i="16"/>
  <c r="AN237" i="16"/>
  <c r="AN213" i="16"/>
  <c r="AN189" i="16"/>
  <c r="AN169" i="16"/>
  <c r="AN145" i="16"/>
  <c r="AV8" i="20"/>
  <c r="AN121" i="16"/>
  <c r="AN167" i="12"/>
  <c r="AN119" i="12"/>
  <c r="AN73" i="12"/>
  <c r="AN8" i="12"/>
  <c r="AN49" i="11"/>
  <c r="AN97" i="16"/>
  <c r="AN73" i="16"/>
  <c r="AN49" i="16"/>
  <c r="AN49" i="15"/>
  <c r="AN8" i="14"/>
  <c r="AN49" i="13"/>
  <c r="AN179" i="12"/>
  <c r="AN131" i="12"/>
  <c r="AN85" i="12"/>
  <c r="J13" i="3"/>
  <c r="AN8" i="16"/>
  <c r="AN189" i="12"/>
  <c r="AN143" i="12"/>
  <c r="AN97" i="12"/>
  <c r="AN49" i="12"/>
  <c r="AN8" i="11"/>
  <c r="AN85" i="16"/>
  <c r="AN61" i="16"/>
  <c r="AN8" i="15"/>
  <c r="AN49" i="14"/>
  <c r="AN8" i="13"/>
  <c r="AN199" i="12"/>
  <c r="AN155" i="12"/>
  <c r="AN109" i="12"/>
  <c r="AN61" i="12"/>
  <c r="G50" i="51" l="1"/>
  <c r="G53" i="51"/>
  <c r="G49" i="51"/>
  <c r="J48" i="11"/>
  <c r="S47" i="11"/>
  <c r="I11" i="38"/>
  <c r="I11" i="37"/>
  <c r="H10" i="45"/>
  <c r="I10" i="50"/>
  <c r="I27" i="40"/>
  <c r="M11" i="35"/>
  <c r="I26" i="33"/>
  <c r="I8" i="39"/>
  <c r="H15" i="34"/>
  <c r="S95" i="12"/>
  <c r="J96" i="12"/>
  <c r="J108" i="12"/>
  <c r="S107" i="12"/>
  <c r="S129" i="12"/>
  <c r="J130" i="12"/>
  <c r="K85" i="16"/>
  <c r="S85" i="16" s="1"/>
  <c r="S84" i="16"/>
  <c r="S96" i="16"/>
  <c r="K97" i="16"/>
  <c r="S97" i="16" s="1"/>
  <c r="N19" i="5"/>
  <c r="N20" i="5"/>
  <c r="N18" i="5"/>
  <c r="AK18" i="5" s="1"/>
  <c r="AD44" i="12" s="1"/>
  <c r="N64" i="5"/>
  <c r="AK64" i="5" s="1"/>
  <c r="AK122" i="5"/>
  <c r="AK118" i="5"/>
  <c r="AD266" i="16" s="1"/>
  <c r="AK120" i="5"/>
  <c r="J166" i="12"/>
  <c r="S165" i="12"/>
  <c r="S177" i="12"/>
  <c r="J178" i="12"/>
  <c r="S187" i="12"/>
  <c r="J188" i="12"/>
  <c r="J198" i="12"/>
  <c r="S197" i="12"/>
  <c r="S108" i="16"/>
  <c r="K109" i="16"/>
  <c r="S109" i="16" s="1"/>
  <c r="D37" i="7"/>
  <c r="D38" i="7" s="1"/>
  <c r="D39" i="7" s="1"/>
  <c r="D34" i="7"/>
  <c r="D35" i="7"/>
  <c r="D36" i="7"/>
  <c r="S47" i="15"/>
  <c r="J48" i="15"/>
  <c r="S7" i="12"/>
  <c r="K8" i="12"/>
  <c r="S8" i="12" s="1"/>
  <c r="S6" i="14"/>
  <c r="J7" i="14"/>
  <c r="J7" i="15"/>
  <c r="S6" i="15"/>
  <c r="AK33" i="5"/>
  <c r="AD104" i="12" s="1"/>
  <c r="AK35" i="5"/>
  <c r="AK98" i="5"/>
  <c r="AK94" i="5"/>
  <c r="AD164" i="16" s="1"/>
  <c r="AK96" i="5"/>
  <c r="S47" i="12"/>
  <c r="J48" i="12"/>
  <c r="J60" i="12"/>
  <c r="S59" i="12"/>
  <c r="J72" i="12"/>
  <c r="S71" i="12"/>
  <c r="K61" i="16"/>
  <c r="S61" i="16" s="1"/>
  <c r="S60" i="16"/>
  <c r="S72" i="16"/>
  <c r="K73" i="16"/>
  <c r="S73" i="16" s="1"/>
  <c r="S6" i="11"/>
  <c r="J7" i="11"/>
  <c r="J7" i="13"/>
  <c r="S6" i="13"/>
  <c r="K8" i="16"/>
  <c r="S8" i="16" s="1"/>
  <c r="S7" i="16"/>
  <c r="S83" i="12"/>
  <c r="J84" i="12"/>
  <c r="J118" i="12"/>
  <c r="S117" i="12"/>
  <c r="S141" i="12"/>
  <c r="J142" i="12"/>
  <c r="J154" i="12"/>
  <c r="S153" i="12"/>
  <c r="S47" i="13"/>
  <c r="J48" i="13"/>
  <c r="AI41" i="5"/>
  <c r="I11" i="50"/>
  <c r="I28" i="40"/>
  <c r="M12" i="35"/>
  <c r="I9" i="39"/>
  <c r="I12" i="38"/>
  <c r="I12" i="37"/>
  <c r="H16" i="34"/>
  <c r="H11" i="45"/>
  <c r="I27" i="33"/>
  <c r="AI18" i="5"/>
  <c r="AI24" i="5"/>
  <c r="N38" i="5"/>
  <c r="AK38" i="5" s="1"/>
  <c r="AD126" i="12" s="1"/>
  <c r="AI44" i="5"/>
  <c r="N50" i="5"/>
  <c r="AI52" i="5"/>
  <c r="AI70" i="5"/>
  <c r="AI82" i="5"/>
  <c r="AI94" i="5"/>
  <c r="K169" i="16"/>
  <c r="S169" i="16" s="1"/>
  <c r="S168" i="16"/>
  <c r="AI98" i="5"/>
  <c r="K189" i="16"/>
  <c r="S189" i="16" s="1"/>
  <c r="S188" i="16"/>
  <c r="AI110" i="5"/>
  <c r="K237" i="16"/>
  <c r="S237" i="16" s="1"/>
  <c r="S236" i="16"/>
  <c r="AI118" i="5"/>
  <c r="S270" i="16"/>
  <c r="K271" i="16"/>
  <c r="S271" i="16" s="1"/>
  <c r="AI122" i="5"/>
  <c r="S290" i="16"/>
  <c r="K291" i="16"/>
  <c r="S291" i="16" s="1"/>
  <c r="N133" i="5"/>
  <c r="AK133" i="5" s="1"/>
  <c r="AG50" i="19" s="1"/>
  <c r="J48" i="17"/>
  <c r="I47" i="17"/>
  <c r="K48" i="25"/>
  <c r="S48" i="25" s="1"/>
  <c r="I46" i="25"/>
  <c r="J47" i="25"/>
  <c r="D20" i="7"/>
  <c r="S6" i="12"/>
  <c r="S45" i="13"/>
  <c r="AD46" i="13"/>
  <c r="AD43" i="14"/>
  <c r="AD44" i="14"/>
  <c r="S46" i="16"/>
  <c r="S7" i="17"/>
  <c r="K8" i="17"/>
  <c r="S8" i="17" s="1"/>
  <c r="S156" i="16"/>
  <c r="K157" i="16"/>
  <c r="S157" i="16" s="1"/>
  <c r="AI107" i="5"/>
  <c r="S224" i="16"/>
  <c r="K225" i="16"/>
  <c r="S225" i="16" s="1"/>
  <c r="AI115" i="5"/>
  <c r="K259" i="16"/>
  <c r="S259" i="16" s="1"/>
  <c r="S258" i="16"/>
  <c r="N125" i="5"/>
  <c r="AK125" i="5" s="1"/>
  <c r="AD298" i="16" s="1"/>
  <c r="F218" i="48"/>
  <c r="F33" i="48"/>
  <c r="F279" i="48"/>
  <c r="F157" i="48"/>
  <c r="F96" i="48"/>
  <c r="G282" i="48"/>
  <c r="G160" i="48"/>
  <c r="G221" i="48"/>
  <c r="G99" i="48"/>
  <c r="G36" i="48"/>
  <c r="AD43" i="17"/>
  <c r="F224" i="48"/>
  <c r="F102" i="48"/>
  <c r="F39" i="48"/>
  <c r="F285" i="48"/>
  <c r="F163" i="48"/>
  <c r="G288" i="48"/>
  <c r="G166" i="48"/>
  <c r="G227" i="48"/>
  <c r="G105" i="48"/>
  <c r="G42" i="48"/>
  <c r="F230" i="48"/>
  <c r="F108" i="48"/>
  <c r="F45" i="48"/>
  <c r="F291" i="48"/>
  <c r="F169" i="48"/>
  <c r="G294" i="48"/>
  <c r="G172" i="48"/>
  <c r="G233" i="48"/>
  <c r="G111" i="48"/>
  <c r="G48" i="48"/>
  <c r="AC42" i="25"/>
  <c r="G236" i="48"/>
  <c r="G114" i="48"/>
  <c r="G51" i="48"/>
  <c r="G297" i="48"/>
  <c r="G175" i="48"/>
  <c r="AC41" i="21"/>
  <c r="F117" i="48"/>
  <c r="F54" i="48"/>
  <c r="F300" i="48"/>
  <c r="F178" i="48"/>
  <c r="F239" i="48"/>
  <c r="J45" i="22"/>
  <c r="S44" i="22"/>
  <c r="G242" i="48"/>
  <c r="G120" i="48"/>
  <c r="G57" i="48"/>
  <c r="G303" i="48"/>
  <c r="G181" i="48"/>
  <c r="AC41" i="23"/>
  <c r="F123" i="48"/>
  <c r="F60" i="48"/>
  <c r="F306" i="48"/>
  <c r="F184" i="48"/>
  <c r="F245" i="48"/>
  <c r="S44" i="24"/>
  <c r="J45" i="24"/>
  <c r="G248" i="48"/>
  <c r="G126" i="48"/>
  <c r="G63" i="48"/>
  <c r="G309" i="48"/>
  <c r="G187" i="48"/>
  <c r="AD46" i="26"/>
  <c r="F129" i="48"/>
  <c r="F66" i="48"/>
  <c r="F312" i="48"/>
  <c r="F190" i="48"/>
  <c r="F251" i="48"/>
  <c r="J46" i="30"/>
  <c r="S45" i="30"/>
  <c r="G254" i="48"/>
  <c r="G132" i="48"/>
  <c r="G69" i="48"/>
  <c r="G315" i="48"/>
  <c r="G193" i="48"/>
  <c r="AG42" i="31"/>
  <c r="F135" i="48"/>
  <c r="F72" i="48"/>
  <c r="F318" i="48"/>
  <c r="F196" i="48"/>
  <c r="F257" i="48"/>
  <c r="G260" i="48"/>
  <c r="G138" i="48"/>
  <c r="G75" i="48"/>
  <c r="G321" i="48"/>
  <c r="G199" i="48"/>
  <c r="AC41" i="27"/>
  <c r="F141" i="48"/>
  <c r="F78" i="48"/>
  <c r="F324" i="48"/>
  <c r="F202" i="48"/>
  <c r="F263" i="48"/>
  <c r="J45" i="28"/>
  <c r="S44" i="28"/>
  <c r="G266" i="48"/>
  <c r="G144" i="48"/>
  <c r="G81" i="48"/>
  <c r="G327" i="48"/>
  <c r="G205" i="48"/>
  <c r="AD46" i="29"/>
  <c r="D21" i="7"/>
  <c r="S43" i="13"/>
  <c r="S44" i="13"/>
  <c r="AD45" i="13"/>
  <c r="S46" i="14"/>
  <c r="I47" i="14" s="1"/>
  <c r="S45" i="16"/>
  <c r="AD46" i="16"/>
  <c r="S120" i="16"/>
  <c r="S7" i="18"/>
  <c r="K8" i="18"/>
  <c r="S8" i="18" s="1"/>
  <c r="G24" i="48"/>
  <c r="G270" i="48"/>
  <c r="G5" i="48"/>
  <c r="G148" i="48"/>
  <c r="G87" i="48"/>
  <c r="G209" i="48"/>
  <c r="G2" i="48"/>
  <c r="G212" i="48"/>
  <c r="G27" i="48"/>
  <c r="G273" i="48"/>
  <c r="G151" i="48"/>
  <c r="G90" i="48"/>
  <c r="AI21" i="5"/>
  <c r="F30" i="48"/>
  <c r="F276" i="48"/>
  <c r="F154" i="48"/>
  <c r="F93" i="48"/>
  <c r="F215" i="48"/>
  <c r="I9" i="50"/>
  <c r="I26" i="40"/>
  <c r="M10" i="35"/>
  <c r="H14" i="34"/>
  <c r="I7" i="39"/>
  <c r="I10" i="38"/>
  <c r="I10" i="37"/>
  <c r="H9" i="45"/>
  <c r="I25" i="33"/>
  <c r="AI30" i="5"/>
  <c r="AI38" i="5"/>
  <c r="AI50" i="5"/>
  <c r="AI54" i="5"/>
  <c r="AI64" i="5"/>
  <c r="L23" i="64"/>
  <c r="G24" i="64"/>
  <c r="AI76" i="5"/>
  <c r="AI88" i="5"/>
  <c r="K145" i="16"/>
  <c r="S145" i="16" s="1"/>
  <c r="S144" i="16"/>
  <c r="AI96" i="5"/>
  <c r="S178" i="16"/>
  <c r="K179" i="16"/>
  <c r="S179" i="16" s="1"/>
  <c r="AI104" i="5"/>
  <c r="K213" i="16"/>
  <c r="S213" i="16" s="1"/>
  <c r="S212" i="16"/>
  <c r="N110" i="5"/>
  <c r="AI112" i="5"/>
  <c r="S246" i="16"/>
  <c r="K247" i="16"/>
  <c r="S247" i="16" s="1"/>
  <c r="AI120" i="5"/>
  <c r="K281" i="16"/>
  <c r="S281" i="16" s="1"/>
  <c r="S280" i="16"/>
  <c r="AI128" i="5"/>
  <c r="S314" i="16"/>
  <c r="K315" i="16"/>
  <c r="S315" i="16" s="1"/>
  <c r="K55" i="19"/>
  <c r="U54" i="19"/>
  <c r="J48" i="18"/>
  <c r="I47" i="18"/>
  <c r="K51" i="20"/>
  <c r="S51" i="20" s="1"/>
  <c r="J50" i="20"/>
  <c r="I49" i="20"/>
  <c r="D22" i="7"/>
  <c r="AD43" i="15"/>
  <c r="S43" i="16"/>
  <c r="S44" i="16"/>
  <c r="AD45" i="16"/>
  <c r="U7" i="19"/>
  <c r="K8" i="19"/>
  <c r="AI33" i="5"/>
  <c r="F209" i="48"/>
  <c r="F24" i="48"/>
  <c r="F270" i="48"/>
  <c r="F148" i="48"/>
  <c r="F87" i="48"/>
  <c r="F151" i="48"/>
  <c r="F90" i="48"/>
  <c r="F212" i="48"/>
  <c r="F27" i="48"/>
  <c r="F273" i="48"/>
  <c r="AI27" i="5"/>
  <c r="AI35" i="5"/>
  <c r="O19" i="64"/>
  <c r="G276" i="48"/>
  <c r="G154" i="48"/>
  <c r="G93" i="48"/>
  <c r="G215" i="48"/>
  <c r="G30" i="48"/>
  <c r="AI73" i="5"/>
  <c r="AI85" i="5"/>
  <c r="S132" i="16"/>
  <c r="K133" i="16"/>
  <c r="S133" i="16" s="1"/>
  <c r="AI101" i="5"/>
  <c r="S200" i="16"/>
  <c r="K201" i="16"/>
  <c r="S201" i="16" s="1"/>
  <c r="K303" i="16"/>
  <c r="S303" i="16" s="1"/>
  <c r="S302" i="16"/>
  <c r="G218" i="48"/>
  <c r="G33" i="48"/>
  <c r="G279" i="48"/>
  <c r="G157" i="48"/>
  <c r="G96" i="48"/>
  <c r="AG49" i="19"/>
  <c r="F99" i="48"/>
  <c r="F36" i="48"/>
  <c r="F282" i="48"/>
  <c r="F160" i="48"/>
  <c r="F221" i="48"/>
  <c r="G224" i="48"/>
  <c r="G102" i="48"/>
  <c r="G39" i="48"/>
  <c r="G285" i="48"/>
  <c r="G163" i="48"/>
  <c r="AD43" i="18"/>
  <c r="F105" i="48"/>
  <c r="F42" i="48"/>
  <c r="F288" i="48"/>
  <c r="F166" i="48"/>
  <c r="F227" i="48"/>
  <c r="G230" i="48"/>
  <c r="G108" i="48"/>
  <c r="G45" i="48"/>
  <c r="G291" i="48"/>
  <c r="G169" i="48"/>
  <c r="AB45" i="20"/>
  <c r="F111" i="48"/>
  <c r="F48" i="48"/>
  <c r="F294" i="48"/>
  <c r="F172" i="48"/>
  <c r="F233" i="48"/>
  <c r="F236" i="48"/>
  <c r="F114" i="48"/>
  <c r="F51" i="48"/>
  <c r="F297" i="48"/>
  <c r="F175" i="48"/>
  <c r="J45" i="21"/>
  <c r="S44" i="21"/>
  <c r="G300" i="48"/>
  <c r="G178" i="48"/>
  <c r="G239" i="48"/>
  <c r="G117" i="48"/>
  <c r="G54" i="48"/>
  <c r="AC41" i="22"/>
  <c r="F242" i="48"/>
  <c r="F120" i="48"/>
  <c r="F57" i="48"/>
  <c r="F303" i="48"/>
  <c r="F181" i="48"/>
  <c r="S44" i="23"/>
  <c r="J45" i="23"/>
  <c r="G306" i="48"/>
  <c r="G184" i="48"/>
  <c r="G245" i="48"/>
  <c r="G123" i="48"/>
  <c r="G60" i="48"/>
  <c r="AC41" i="24"/>
  <c r="F248" i="48"/>
  <c r="F126" i="48"/>
  <c r="F63" i="48"/>
  <c r="F309" i="48"/>
  <c r="F187" i="48"/>
  <c r="G312" i="48"/>
  <c r="G190" i="48"/>
  <c r="G251" i="48"/>
  <c r="G129" i="48"/>
  <c r="G66" i="48"/>
  <c r="AG42" i="30"/>
  <c r="F254" i="48"/>
  <c r="F132" i="48"/>
  <c r="F69" i="48"/>
  <c r="F315" i="48"/>
  <c r="F193" i="48"/>
  <c r="S45" i="31"/>
  <c r="J46" i="31"/>
  <c r="G318" i="48"/>
  <c r="G196" i="48"/>
  <c r="G257" i="48"/>
  <c r="G135" i="48"/>
  <c r="G72" i="48"/>
  <c r="AD46" i="32"/>
  <c r="F260" i="48"/>
  <c r="F138" i="48"/>
  <c r="F75" i="48"/>
  <c r="F321" i="48"/>
  <c r="F199" i="48"/>
  <c r="S44" i="27"/>
  <c r="J45" i="27"/>
  <c r="G324" i="48"/>
  <c r="G202" i="48"/>
  <c r="G263" i="48"/>
  <c r="G141" i="48"/>
  <c r="G78" i="48"/>
  <c r="AC41" i="28"/>
  <c r="F266" i="48"/>
  <c r="F144" i="48"/>
  <c r="F81" i="48"/>
  <c r="F327" i="48"/>
  <c r="F205" i="48"/>
  <c r="AD43" i="11"/>
  <c r="AD43" i="16"/>
  <c r="S6" i="27"/>
  <c r="K7" i="27"/>
  <c r="S7" i="27" s="1"/>
  <c r="I6" i="20"/>
  <c r="S6" i="30"/>
  <c r="K7" i="30"/>
  <c r="S7" i="30" s="1"/>
  <c r="J6" i="21"/>
  <c r="S5" i="21"/>
  <c r="S5" i="22"/>
  <c r="J6" i="22"/>
  <c r="J6" i="28"/>
  <c r="S5" i="28"/>
  <c r="J6" i="31"/>
  <c r="S5" i="31"/>
  <c r="S5" i="27"/>
  <c r="S5" i="30"/>
  <c r="J6" i="23"/>
  <c r="K7" i="24"/>
  <c r="S7" i="24" s="1"/>
  <c r="I31" i="33"/>
  <c r="I136" i="33" s="1"/>
  <c r="H31" i="33"/>
  <c r="H136" i="33" s="1"/>
  <c r="H15" i="43"/>
  <c r="I48" i="43"/>
  <c r="H48" i="43" s="1"/>
  <c r="E32" i="51"/>
  <c r="G46" i="51"/>
  <c r="G47" i="51"/>
  <c r="G48" i="51"/>
  <c r="H49" i="51"/>
  <c r="H50" i="51"/>
  <c r="H53" i="51"/>
  <c r="D5" i="52"/>
  <c r="E5" i="54"/>
  <c r="E5" i="55"/>
  <c r="E30" i="62"/>
  <c r="E32" i="62"/>
  <c r="AA12" i="63"/>
  <c r="I58" i="43"/>
  <c r="H58" i="43" s="1"/>
  <c r="H46" i="51"/>
  <c r="H47" i="51"/>
  <c r="E24" i="52"/>
  <c r="F10" i="54"/>
  <c r="E4" i="62"/>
  <c r="AA11" i="63"/>
  <c r="U148" i="63"/>
  <c r="AA15" i="63"/>
  <c r="J49" i="51"/>
  <c r="J50" i="51"/>
  <c r="J51" i="51"/>
  <c r="J45" i="51" s="1"/>
  <c r="E5" i="2" s="1"/>
  <c r="J52" i="51"/>
  <c r="F10" i="55"/>
  <c r="E6" i="62"/>
  <c r="E29" i="62"/>
  <c r="U14" i="63"/>
  <c r="F2" i="54"/>
  <c r="S6" i="23" l="1"/>
  <c r="K7" i="23"/>
  <c r="S7" i="23" s="1"/>
  <c r="K7" i="31"/>
  <c r="S7" i="31" s="1"/>
  <c r="S6" i="31"/>
  <c r="S45" i="21"/>
  <c r="K46" i="21"/>
  <c r="S46" i="21" s="1"/>
  <c r="L56" i="19"/>
  <c r="U56" i="19" s="1"/>
  <c r="U55" i="19"/>
  <c r="J48" i="14"/>
  <c r="S47" i="14"/>
  <c r="S45" i="28"/>
  <c r="K46" i="28"/>
  <c r="S46" i="28" s="1"/>
  <c r="K47" i="30"/>
  <c r="S47" i="30" s="1"/>
  <c r="S46" i="30"/>
  <c r="S45" i="24"/>
  <c r="K46" i="24"/>
  <c r="S46" i="24" s="1"/>
  <c r="S48" i="17"/>
  <c r="K49" i="17"/>
  <c r="S49" i="17" s="1"/>
  <c r="AK52" i="5"/>
  <c r="AK54" i="5"/>
  <c r="AK50" i="5"/>
  <c r="AD174" i="12" s="1"/>
  <c r="K8" i="13"/>
  <c r="S8" i="13" s="1"/>
  <c r="S7" i="13"/>
  <c r="S72" i="12"/>
  <c r="K73" i="12"/>
  <c r="S73" i="12" s="1"/>
  <c r="S7" i="14"/>
  <c r="K8" i="14"/>
  <c r="S8" i="14" s="1"/>
  <c r="S48" i="15"/>
  <c r="K49" i="15"/>
  <c r="S49" i="15" s="1"/>
  <c r="S178" i="12"/>
  <c r="K179" i="12"/>
  <c r="S179" i="12" s="1"/>
  <c r="I47" i="16"/>
  <c r="J48" i="16"/>
  <c r="K8" i="11"/>
  <c r="S8" i="11" s="1"/>
  <c r="S7" i="11"/>
  <c r="D41" i="7"/>
  <c r="D40" i="7"/>
  <c r="D43" i="7"/>
  <c r="D44" i="7" s="1"/>
  <c r="D45" i="7" s="1"/>
  <c r="K199" i="12"/>
  <c r="S199" i="12" s="1"/>
  <c r="S198" i="12"/>
  <c r="L24" i="64"/>
  <c r="H25" i="64"/>
  <c r="L25" i="64" s="1"/>
  <c r="D4" i="4"/>
  <c r="K7" i="28"/>
  <c r="S7" i="28" s="1"/>
  <c r="S6" i="28"/>
  <c r="S6" i="21"/>
  <c r="K7" i="21"/>
  <c r="S7" i="21" s="1"/>
  <c r="K47" i="31"/>
  <c r="S47" i="31" s="1"/>
  <c r="S46" i="31"/>
  <c r="K46" i="23"/>
  <c r="S46" i="23" s="1"/>
  <c r="S45" i="23"/>
  <c r="S48" i="18"/>
  <c r="K49" i="18"/>
  <c r="S49" i="18" s="1"/>
  <c r="AK110" i="5"/>
  <c r="AD232" i="16" s="1"/>
  <c r="AK112" i="5"/>
  <c r="K46" i="22"/>
  <c r="S46" i="22" s="1"/>
  <c r="S45" i="22"/>
  <c r="K155" i="12"/>
  <c r="S155" i="12" s="1"/>
  <c r="S154" i="12"/>
  <c r="S118" i="12"/>
  <c r="K119" i="12"/>
  <c r="S119" i="12" s="1"/>
  <c r="K61" i="12"/>
  <c r="S61" i="12" s="1"/>
  <c r="S60" i="12"/>
  <c r="K189" i="12"/>
  <c r="S189" i="12" s="1"/>
  <c r="S188" i="12"/>
  <c r="K109" i="12"/>
  <c r="S109" i="12" s="1"/>
  <c r="S108" i="12"/>
  <c r="S45" i="27"/>
  <c r="K46" i="27"/>
  <c r="S46" i="27" s="1"/>
  <c r="K7" i="22"/>
  <c r="S7" i="22" s="1"/>
  <c r="S6" i="22"/>
  <c r="U8" i="19"/>
  <c r="L9" i="19"/>
  <c r="U9" i="19" s="1"/>
  <c r="S48" i="13"/>
  <c r="K49" i="13"/>
  <c r="S49" i="13" s="1"/>
  <c r="K143" i="12"/>
  <c r="S143" i="12" s="1"/>
  <c r="S142" i="12"/>
  <c r="S84" i="12"/>
  <c r="K85" i="12"/>
  <c r="S85" i="12" s="1"/>
  <c r="K49" i="12"/>
  <c r="S49" i="12" s="1"/>
  <c r="S48" i="12"/>
  <c r="K8" i="15"/>
  <c r="S8" i="15" s="1"/>
  <c r="S7" i="15"/>
  <c r="S166" i="12"/>
  <c r="K167" i="12"/>
  <c r="S167" i="12" s="1"/>
  <c r="O20" i="64"/>
  <c r="AD44" i="16"/>
  <c r="S130" i="12"/>
  <c r="K131" i="12"/>
  <c r="S131" i="12" s="1"/>
  <c r="K97" i="12"/>
  <c r="S97" i="12" s="1"/>
  <c r="S96" i="12"/>
  <c r="S48" i="11"/>
  <c r="K49" i="11"/>
  <c r="S49" i="11" s="1"/>
  <c r="D49" i="7" l="1"/>
  <c r="D46" i="7"/>
  <c r="D48" i="7"/>
  <c r="D47" i="7"/>
  <c r="D51" i="7"/>
  <c r="S48" i="16"/>
  <c r="K49" i="16"/>
  <c r="S49" i="16" s="1"/>
  <c r="K49" i="14"/>
  <c r="S49" i="14" s="1"/>
  <c r="S48" i="1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<sst xmlns="http://schemas.openxmlformats.org/spreadsheetml/2006/main" count="18352" uniqueCount="4016">
  <si>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</si>
  <si>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</si>
  <si>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</si>
  <si>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</si>
  <si>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</si>
  <si>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</si>
  <si>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</si>
  <si>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</si>
  <si>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</si>
  <si>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</si>
  <si>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</si>
  <si>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</si>
  <si>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</si>
  <si>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</si>
  <si>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</si>
  <si>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</si>
  <si>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</si>
  <si>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</si>
  <si>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</si>
  <si>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</si>
  <si>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</si>
  <si>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</si>
  <si>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</si>
  <si>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</si>
  <si>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</si>
  <si>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</si>
  <si>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</si>
  <si>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</si>
  <si>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917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</si>
  <si>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</si>
  <si>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</si>
  <si>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</si>
  <si>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</si>
  <si>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</si>
  <si>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</si>
  <si>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</si>
  <si>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</si>
  <si>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</si>
  <si>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</si>
  <si>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</si>
  <si>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</si>
  <si>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</si>
  <si>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</si>
  <si>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</si>
  <si>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</si>
  <si>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</si>
  <si>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</si>
  <si>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</si>
  <si>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</si>
  <si>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</si>
  <si>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</si>
  <si>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</si>
  <si>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</si>
  <si>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</si>
  <si>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</si>
  <si>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</si>
  <si>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</si>
  <si>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</si>
  <si>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</si>
  <si>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</si>
  <si>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</si>
  <si>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</si>
  <si>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Рожкова Мария Владимировна</t>
  </si>
  <si>
    <t>Должность</t>
  </si>
  <si>
    <t>Заместитель генерального директора по экономике - начальник ПЭО</t>
  </si>
  <si>
    <t>Контактный телефон</t>
  </si>
  <si>
    <t>(4812) 377-222</t>
  </si>
  <si>
    <t>E-mail</t>
  </si>
  <si>
    <t>plan@srte.ru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</si>
  <si>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</si>
  <si>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</si>
  <si>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</si>
  <si>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</si>
  <si>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</si>
  <si>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</si>
  <si>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</si>
  <si>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</si>
  <si>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</si>
  <si>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</si>
  <si>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</si>
  <si>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</si>
  <si>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</si>
  <si>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</si>
  <si>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</si>
  <si>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</si>
  <si>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</si>
  <si>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округ</t>
  </si>
  <si>
    <t>66505000</t>
  </si>
  <si>
    <t>Добавить МО</t>
  </si>
  <si>
    <t>2</t>
  </si>
  <si>
    <t>×</t>
  </si>
  <si>
    <t>ter_5</t>
  </si>
  <si>
    <t>17</t>
  </si>
  <si>
    <t>Гагаринский муниципальный округ</t>
  </si>
  <si>
    <t>66508000</t>
  </si>
  <si>
    <t>85</t>
  </si>
  <si>
    <t>Новодугинский муниципальный округ</t>
  </si>
  <si>
    <t>66530000</t>
  </si>
  <si>
    <t>156</t>
  </si>
  <si>
    <t>Сычевский муниципальный округ</t>
  </si>
  <si>
    <t>66546000</t>
  </si>
  <si>
    <t>ter_51</t>
  </si>
  <si>
    <t>100</t>
  </si>
  <si>
    <t>Рославльский муниципальный округ</t>
  </si>
  <si>
    <t>66536000</t>
  </si>
  <si>
    <t>92</t>
  </si>
  <si>
    <t>Починковский муниципальный округ</t>
  </si>
  <si>
    <t>66533000</t>
  </si>
  <si>
    <t>58</t>
  </si>
  <si>
    <t>Ершичский муниципальный округ</t>
  </si>
  <si>
    <t>66521000</t>
  </si>
  <si>
    <t>191</t>
  </si>
  <si>
    <t>Шумячский муниципальный округ</t>
  </si>
  <si>
    <t>66556000</t>
  </si>
  <si>
    <t>ter_511</t>
  </si>
  <si>
    <t>5</t>
  </si>
  <si>
    <t>ter_5111</t>
  </si>
  <si>
    <t>120</t>
  </si>
  <si>
    <t>Сафоновский муниципальный округ</t>
  </si>
  <si>
    <t>66541000</t>
  </si>
  <si>
    <t>45</t>
  </si>
  <si>
    <t>Духовщинский муниципальный округ</t>
  </si>
  <si>
    <t>66516000</t>
  </si>
  <si>
    <t>52</t>
  </si>
  <si>
    <t>Ельнинский муниципальный округ</t>
  </si>
  <si>
    <t>66519000</t>
  </si>
  <si>
    <t>183</t>
  </si>
  <si>
    <t>Холм-Жирковский муниципальный округ</t>
  </si>
  <si>
    <t>66554000</t>
  </si>
  <si>
    <t>ter_51111</t>
  </si>
  <si>
    <t>ter_511111</t>
  </si>
  <si>
    <t>38</t>
  </si>
  <si>
    <t>Дорогобужский муниципальный округ</t>
  </si>
  <si>
    <t>66514000</t>
  </si>
  <si>
    <t>8</t>
  </si>
  <si>
    <t>ter_5111111</t>
  </si>
  <si>
    <t>9</t>
  </si>
  <si>
    <t>ter_51111111</t>
  </si>
  <si>
    <t>201</t>
  </si>
  <si>
    <t>Ярцевский муниципальный округ</t>
  </si>
  <si>
    <t>66558000</t>
  </si>
  <si>
    <t>10</t>
  </si>
  <si>
    <t>ter_511111111</t>
  </si>
  <si>
    <t>70</t>
  </si>
  <si>
    <t>Краснинский муниципальный округ</t>
  </si>
  <si>
    <t>66524000</t>
  </si>
  <si>
    <t>11</t>
  </si>
  <si>
    <t>ter_5111111111</t>
  </si>
  <si>
    <t>135</t>
  </si>
  <si>
    <t>Смоленский муниципальный округ</t>
  </si>
  <si>
    <t>66544000</t>
  </si>
  <si>
    <t>12</t>
  </si>
  <si>
    <t>ter_511111111111111</t>
  </si>
  <si>
    <t>13</t>
  </si>
  <si>
    <t>ter_5111111111111111</t>
  </si>
  <si>
    <t>14</t>
  </si>
  <si>
    <t>ter_51111111111111111</t>
  </si>
  <si>
    <t>15</t>
  </si>
  <si>
    <t>ter_511111111111111111</t>
  </si>
  <si>
    <t>16</t>
  </si>
  <si>
    <t>ter_5111111111111111111</t>
  </si>
  <si>
    <t>ter_51111111111111111111</t>
  </si>
  <si>
    <t>18</t>
  </si>
  <si>
    <t>ter_511111111111111111111</t>
  </si>
  <si>
    <t>19</t>
  </si>
  <si>
    <t>ter_5111111111111111111111</t>
  </si>
  <si>
    <t>20</t>
  </si>
  <si>
    <t>ter_51111111111111111111111</t>
  </si>
  <si>
    <t>21</t>
  </si>
  <si>
    <t>ter_511111111111111111111111</t>
  </si>
  <si>
    <t>22</t>
  </si>
  <si>
    <t>ter_5111111111111111111111111</t>
  </si>
  <si>
    <t>23</t>
  </si>
  <si>
    <t>ter_51111111111111111111111111111</t>
  </si>
  <si>
    <t>186</t>
  </si>
  <si>
    <t>Холм-Жирковский муниципальный район</t>
  </si>
  <si>
    <t>Игоревское</t>
  </si>
  <si>
    <t>66654425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</si>
  <si>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</si>
  <si>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</si>
  <si>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</si>
  <si>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</si>
  <si>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</si>
  <si>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</si>
  <si>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</si>
  <si>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</si>
  <si>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</si>
  <si>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</si>
  <si>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</si>
  <si>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</si>
  <si>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</si>
  <si>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</si>
  <si>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</si>
  <si>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</si>
  <si>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</si>
  <si>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</si>
  <si>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</si>
  <si>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</si>
  <si>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</si>
  <si>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</si>
  <si>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</si>
  <si>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</si>
  <si>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</si>
  <si>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</si>
  <si>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</si>
  <si>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</si>
  <si>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</si>
  <si>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</si>
  <si>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</si>
  <si>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</si>
  <si>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</si>
  <si>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</si>
  <si>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</si>
  <si>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</si>
  <si>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</si>
  <si>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</si>
  <si>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</si>
  <si>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</si>
  <si>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</si>
  <si>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</si>
  <si>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</si>
  <si>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</si>
  <si>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</si>
  <si>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</si>
  <si>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</si>
  <si>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</si>
  <si>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</si>
  <si>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(мощность), поставляемую потребителям</t>
  </si>
  <si>
    <t>котельная г. Вязьма, ул. Московская</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</si>
  <si>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</si>
  <si>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</si>
  <si>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</si>
  <si>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</si>
  <si>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</si>
  <si>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</si>
  <si>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</si>
  <si>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</si>
  <si>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Вяземский филиал</t>
  </si>
  <si>
    <t>pt_ter_31</t>
  </si>
  <si>
    <t>pt_cs_31</t>
  </si>
  <si>
    <t>pt_ist_te_31</t>
  </si>
  <si>
    <t>Рославльский филиал</t>
  </si>
  <si>
    <t>pt_ter_32</t>
  </si>
  <si>
    <t>pt_cs_32</t>
  </si>
  <si>
    <t>pt_ist_te_32</t>
  </si>
  <si>
    <t>котельная г. Рославль ул. Мичурина</t>
  </si>
  <si>
    <t>pt_ter_33</t>
  </si>
  <si>
    <t>pt_cs_33</t>
  </si>
  <si>
    <t>pt_ist_te_33</t>
  </si>
  <si>
    <t>Сафоновский филиал</t>
  </si>
  <si>
    <t>pt_ter_34</t>
  </si>
  <si>
    <t>pt_cs_34</t>
  </si>
  <si>
    <t>pt_ist_te_34</t>
  </si>
  <si>
    <t xml:space="preserve">котельная  №16 г. Сафоново, ул. Советская
</t>
  </si>
  <si>
    <t>pt_ter_35</t>
  </si>
  <si>
    <t>pt_cs_35</t>
  </si>
  <si>
    <t>pt_ist_te_35</t>
  </si>
  <si>
    <t xml:space="preserve">котельная  №18 г. Сафоново, ул. Первомайская
</t>
  </si>
  <si>
    <t>pt_cs_41</t>
  </si>
  <si>
    <t>pt_ist_te_41</t>
  </si>
  <si>
    <t xml:space="preserve">котельная БМК Михайловское
</t>
  </si>
  <si>
    <t>pt_ter_36</t>
  </si>
  <si>
    <t>pt_cs_36</t>
  </si>
  <si>
    <t>pt_ist_te_36</t>
  </si>
  <si>
    <t xml:space="preserve">котельные п. Холм-Жирковский, ул. Кирова и ул. Советская
</t>
  </si>
  <si>
    <t>pt_ter_37</t>
  </si>
  <si>
    <t>pt_cs_37</t>
  </si>
  <si>
    <t>pt_ist_te_37</t>
  </si>
  <si>
    <t>Ярцевский филиал</t>
  </si>
  <si>
    <t>pt_ter_38</t>
  </si>
  <si>
    <t>pt_cs_38</t>
  </si>
  <si>
    <t>pt_ist_te_38</t>
  </si>
  <si>
    <t>п. Красный</t>
  </si>
  <si>
    <t>pt_ter_39</t>
  </si>
  <si>
    <t>pt_cs_39</t>
  </si>
  <si>
    <t>pt_ist_te_39</t>
  </si>
  <si>
    <t>котельная д. Богородицкое</t>
  </si>
  <si>
    <t>pt_ter_40</t>
  </si>
  <si>
    <t>pt_cs_40</t>
  </si>
  <si>
    <t>pt_ist_te_40</t>
  </si>
  <si>
    <t xml:space="preserve">котельная  д. Сметанино
</t>
  </si>
  <si>
    <t>pt_cs_42</t>
  </si>
  <si>
    <t>pt_ist_te_42</t>
  </si>
  <si>
    <t xml:space="preserve">котельная   с. Талашкино
</t>
  </si>
  <si>
    <t>pt_cs_43</t>
  </si>
  <si>
    <t>pt_ist_te_43</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</si>
  <si>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</si>
  <si>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</si>
  <si>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</si>
  <si>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</si>
  <si>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посталяемый потребителям</t>
  </si>
  <si>
    <t>"4190067"; "4190069"; "4190071"</t>
  </si>
  <si>
    <t>pIns_PT_VTAR_C</t>
  </si>
  <si>
    <t>pt_ntar_3</t>
  </si>
  <si>
    <t>pt_ter_3</t>
  </si>
  <si>
    <t>pt_cs_3</t>
  </si>
  <si>
    <t>pt_ist_te_3</t>
  </si>
  <si>
    <t>Вяземский ТУ</t>
  </si>
  <si>
    <t>pt_ter_43</t>
  </si>
  <si>
    <t>pt_cs_46</t>
  </si>
  <si>
    <t>pt_ist_te_46</t>
  </si>
  <si>
    <t>Гагаринский ТУ</t>
  </si>
  <si>
    <t>pt_ter_44</t>
  </si>
  <si>
    <t>pt_cs_47</t>
  </si>
  <si>
    <t>pt_ist_te_47</t>
  </si>
  <si>
    <t>Новодугинский ТУ</t>
  </si>
  <si>
    <t>pt_ter_45</t>
  </si>
  <si>
    <t>pt_cs_48</t>
  </si>
  <si>
    <t>pt_ist_te_48</t>
  </si>
  <si>
    <t>Сычевский ТУ</t>
  </si>
  <si>
    <t>pt_ter_46</t>
  </si>
  <si>
    <t>pt_cs_57</t>
  </si>
  <si>
    <t>pt_ist_te_57</t>
  </si>
  <si>
    <t>Рославльский ТУ</t>
  </si>
  <si>
    <t>pt_ter_47</t>
  </si>
  <si>
    <t>pt_cs_58</t>
  </si>
  <si>
    <t>pt_ist_te_58</t>
  </si>
  <si>
    <t>Починковский ТУ</t>
  </si>
  <si>
    <t>pt_ter_48</t>
  </si>
  <si>
    <t>pt_cs_62</t>
  </si>
  <si>
    <t>pt_ist_te_62</t>
  </si>
  <si>
    <t>Ершичский ТУ</t>
  </si>
  <si>
    <t>pt_ter_49</t>
  </si>
  <si>
    <t>pt_cs_64</t>
  </si>
  <si>
    <t>pt_ist_te_64</t>
  </si>
  <si>
    <t>Шумячский  ТУ</t>
  </si>
  <si>
    <t>pt_ter_50</t>
  </si>
  <si>
    <t>pt_cs_65</t>
  </si>
  <si>
    <t>pt_ist_te_65</t>
  </si>
  <si>
    <t>pt_ter_51</t>
  </si>
  <si>
    <t>pt_cs_66</t>
  </si>
  <si>
    <t>pt_ist_te_66</t>
  </si>
  <si>
    <t>Сафоновский ТУ</t>
  </si>
  <si>
    <t>pt_ter_52</t>
  </si>
  <si>
    <t>pt_cs_67</t>
  </si>
  <si>
    <t>pt_ist_te_67</t>
  </si>
  <si>
    <t>pt_cs_92</t>
  </si>
  <si>
    <t>pt_ist_te_92</t>
  </si>
  <si>
    <t>с. Издешково</t>
  </si>
  <si>
    <t>pt_cs_93</t>
  </si>
  <si>
    <t>pt_ist_te_93</t>
  </si>
  <si>
    <t>Ельнинский ТУ</t>
  </si>
  <si>
    <t>pt_ter_53</t>
  </si>
  <si>
    <t>pt_cs_68</t>
  </si>
  <si>
    <t>pt_ist_te_68</t>
  </si>
  <si>
    <t>Духовщинский ТУ</t>
  </si>
  <si>
    <t>pt_ter_54</t>
  </si>
  <si>
    <t>pt_cs_69</t>
  </si>
  <si>
    <t>pt_ist_te_69</t>
  </si>
  <si>
    <t>Дорогобужский ТУ котельная БМК Михайловское</t>
  </si>
  <si>
    <t>pt_ter_56</t>
  </si>
  <si>
    <t>pt_cs_71</t>
  </si>
  <si>
    <t>pt_ist_te_71</t>
  </si>
  <si>
    <t>Холм-Жирковский ТУ</t>
  </si>
  <si>
    <t>pt_ter_57</t>
  </si>
  <si>
    <t>pt_cs_72</t>
  </si>
  <si>
    <t>pt_ist_te_72</t>
  </si>
  <si>
    <t>котельные п. Холм-Жирковский, ул. Кирова и ул. Советская</t>
  </si>
  <si>
    <t>pt_cs_88</t>
  </si>
  <si>
    <t>pt_ist_te_88</t>
  </si>
  <si>
    <t>кот. с. Игоревская</t>
  </si>
  <si>
    <t>pt_ter_59</t>
  </si>
  <si>
    <t>pt_cs_75</t>
  </si>
  <si>
    <t>pt_ist_te_75</t>
  </si>
  <si>
    <t>pt_ter_68</t>
  </si>
  <si>
    <t>pt_cs_85</t>
  </si>
  <si>
    <t>pt_ist_te_85</t>
  </si>
  <si>
    <t>pt_cs_94</t>
  </si>
  <si>
    <t>pt_ist_te_94</t>
  </si>
  <si>
    <t>pt_cs_95</t>
  </si>
  <si>
    <t>pt_ist_te_95</t>
  </si>
  <si>
    <t>Ярцевский ТУ</t>
  </si>
  <si>
    <t>pt_ter_71</t>
  </si>
  <si>
    <t>pt_cs_90</t>
  </si>
  <si>
    <t>pt_ist_te_90</t>
  </si>
  <si>
    <t>Краснинский ТУ</t>
  </si>
  <si>
    <t>pt_ter_72</t>
  </si>
  <si>
    <t>pt_cs_91</t>
  </si>
  <si>
    <t>pt_ist_te_91</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</si>
  <si>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</si>
  <si>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с использованиемоткрытой системы горячего водоснабжения</t>
  </si>
  <si>
    <t>котельная  №16 г. Сафоново, ул. Советская</t>
  </si>
  <si>
    <t>"4190064"; "4190067"; "4190068"; "4190069"; "4190070"; "4190071"</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</si>
  <si>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</si>
  <si>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</si>
  <si>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</si>
  <si>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</si>
  <si>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</si>
  <si>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</si>
  <si>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</si>
  <si>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</si>
  <si>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</si>
  <si>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</si>
  <si>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</si>
  <si>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</si>
  <si>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</si>
  <si>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</si>
  <si>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</si>
  <si>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</si>
  <si>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</si>
  <si>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</si>
  <si>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</si>
  <si>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</si>
  <si>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</si>
  <si>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</si>
  <si>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</si>
  <si>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</si>
  <si>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</si>
  <si>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</si>
  <si>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</si>
  <si>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</si>
  <si>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</si>
  <si>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</si>
  <si>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</si>
  <si>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</si>
  <si>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</si>
  <si>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</si>
  <si>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</si>
  <si>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</si>
  <si>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</si>
  <si>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</si>
  <si>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</si>
  <si>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</si>
  <si>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</si>
  <si>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</si>
  <si>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</si>
  <si>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</si>
  <si>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</si>
  <si>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</si>
  <si>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</si>
  <si>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</si>
  <si>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</si>
  <si>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</si>
  <si>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</si>
  <si>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</si>
  <si>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</si>
  <si>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</si>
  <si>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</si>
  <si>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</si>
  <si>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</si>
  <si>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</si>
  <si>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</si>
  <si>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</si>
  <si>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</si>
  <si>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</si>
  <si>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</si>
  <si>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</si>
  <si>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</si>
  <si>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</si>
  <si>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</si>
  <si>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</si>
  <si>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</si>
  <si>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</si>
  <si>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</si>
  <si>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</si>
  <si>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</si>
  <si>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</si>
  <si>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</si>
  <si>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</si>
  <si>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</si>
  <si>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</si>
  <si>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</si>
  <si>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</si>
  <si>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</si>
  <si>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</si>
  <si>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</si>
  <si>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</si>
  <si>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</si>
  <si>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</si>
  <si>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</si>
  <si>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</si>
  <si>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</si>
  <si>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</si>
  <si>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</si>
  <si>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</si>
  <si>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</si>
  <si>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</si>
  <si>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</si>
  <si>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</si>
  <si>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</si>
  <si>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</si>
  <si>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</si>
  <si>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</si>
  <si>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</si>
  <si>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</si>
  <si>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</si>
  <si>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</si>
  <si>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</si>
  <si>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</si>
  <si>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</si>
  <si>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</si>
  <si>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</si>
  <si>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</si>
  <si>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</si>
  <si>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</si>
  <si>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</si>
  <si>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</si>
  <si>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</si>
  <si>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</si>
  <si>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</si>
  <si>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</si>
  <si>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</si>
  <si>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</si>
  <si>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</si>
  <si>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</si>
  <si>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</si>
  <si>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</si>
  <si>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</si>
  <si>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</si>
  <si>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</si>
  <si>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</si>
  <si>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</si>
  <si>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</si>
  <si>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</si>
  <si>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</si>
  <si>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</si>
  <si>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</si>
  <si>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</si>
  <si>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</si>
  <si>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</si>
  <si>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</si>
  <si>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</si>
  <si>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</si>
  <si>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</si>
  <si>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</si>
  <si>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</si>
  <si>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</si>
  <si>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</si>
  <si>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</si>
  <si>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</si>
  <si>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</si>
  <si>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</si>
  <si>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</si>
  <si>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</si>
  <si>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</si>
  <si>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</si>
  <si>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</si>
  <si>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</si>
  <si>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</si>
  <si>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</si>
  <si>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</si>
  <si>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</si>
  <si>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</si>
  <si>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</si>
  <si>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</si>
  <si>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</si>
  <si>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</si>
  <si>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</si>
  <si>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</si>
  <si>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</si>
  <si>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</si>
  <si>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</si>
  <si>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</si>
  <si>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</si>
  <si>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</si>
  <si>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</si>
  <si>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</si>
  <si>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</si>
  <si>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</si>
  <si>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</si>
  <si>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</si>
  <si>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</si>
  <si>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</si>
  <si>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</si>
  <si>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</si>
  <si>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</si>
  <si>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</si>
  <si>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</si>
  <si>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</si>
  <si>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</si>
  <si>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</si>
  <si>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</si>
  <si>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</si>
  <si>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</si>
  <si>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</si>
  <si>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</si>
  <si>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</si>
  <si>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</si>
  <si>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</si>
  <si>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</si>
  <si>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</si>
  <si>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</si>
  <si>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</si>
  <si>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</si>
  <si>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</si>
  <si>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</si>
  <si>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</si>
  <si>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</si>
  <si>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</si>
  <si>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</si>
  <si>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</si>
  <si>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</si>
  <si>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</si>
  <si>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</si>
  <si>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</si>
  <si>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</si>
  <si>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</si>
  <si>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</si>
  <si>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</si>
  <si>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</si>
  <si>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</si>
  <si>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</si>
  <si>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</si>
  <si>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</si>
  <si>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</si>
  <si>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</si>
  <si>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</si>
  <si>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</si>
  <si>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</si>
  <si>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</si>
  <si>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</si>
  <si>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</si>
  <si>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</si>
  <si>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</si>
  <si>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</si>
  <si>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</si>
  <si>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</si>
  <si>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</si>
  <si>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</si>
  <si>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</si>
  <si>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</si>
  <si>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</si>
  <si>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</si>
  <si>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</si>
  <si>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</si>
  <si>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</si>
  <si>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</si>
  <si>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</si>
  <si>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</si>
  <si>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</si>
  <si>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</si>
  <si>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</si>
  <si>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</si>
  <si>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</si>
  <si>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</si>
  <si>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</si>
  <si>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</si>
  <si>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</si>
  <si>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</si>
  <si>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</si>
  <si>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</si>
  <si>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</si>
  <si>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</si>
  <si>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</si>
  <si>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</si>
  <si>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</si>
  <si>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</si>
  <si>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</si>
  <si>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</si>
  <si>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</si>
  <si>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</si>
  <si>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</si>
  <si>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</si>
  <si>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</si>
  <si>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</si>
  <si>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Одноставочный тариф,_x000D_
руб./куб.м</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</si>
  <si>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</si>
  <si>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</si>
  <si>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25</t>
  </si>
  <si>
    <t>24</t>
  </si>
  <si>
    <t>26</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</si>
  <si>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</si>
  <si>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</si>
  <si>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</si>
  <si>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</si>
  <si>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</si>
  <si>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</si>
  <si>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</si>
  <si>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</si>
  <si>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</si>
  <si>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</si>
  <si>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</si>
  <si>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</si>
  <si>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</si>
  <si>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</si>
  <si>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</si>
  <si>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</si>
  <si>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</si>
  <si>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</si>
  <si>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</si>
  <si>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</si>
  <si>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</si>
  <si>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</si>
  <si>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</si>
  <si>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</si>
  <si>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</si>
  <si>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</si>
  <si>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</si>
  <si>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</si>
  <si>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</si>
  <si>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</si>
  <si>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</si>
  <si>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</si>
  <si>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</si>
  <si>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</si>
  <si>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</si>
  <si>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</si>
  <si>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</si>
  <si>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</si>
  <si>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</si>
  <si>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</si>
  <si>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</si>
  <si>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</si>
  <si>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</si>
  <si>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</si>
  <si>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</si>
  <si>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</si>
  <si>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</si>
  <si>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</si>
  <si>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</si>
  <si>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</si>
  <si>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</si>
  <si>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</si>
  <si>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</si>
  <si>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</si>
  <si>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</si>
  <si>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</si>
  <si>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</si>
  <si>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</si>
  <si>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</si>
  <si>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</si>
  <si>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</si>
  <si>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</si>
  <si>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</si>
  <si>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</si>
  <si>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</si>
  <si>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</si>
  <si>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</si>
  <si>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</si>
  <si>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</si>
  <si>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</si>
  <si>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</si>
  <si>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</si>
  <si>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</si>
  <si>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</si>
  <si>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</si>
  <si>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</si>
  <si>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</si>
  <si>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</si>
  <si>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</si>
  <si>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</si>
  <si>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</si>
  <si>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</si>
  <si>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</si>
  <si>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</si>
  <si>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</si>
  <si>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</si>
  <si>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</si>
  <si>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</si>
  <si>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</si>
  <si>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</si>
  <si>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</si>
  <si>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</si>
  <si>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</si>
  <si>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</si>
  <si>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</si>
  <si>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</si>
  <si>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</si>
  <si>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</si>
  <si>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</si>
  <si>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</si>
  <si>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</si>
  <si>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</si>
  <si>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</si>
  <si>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</si>
  <si>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</si>
  <si>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</si>
  <si>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</si>
  <si>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</si>
  <si>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</si>
  <si>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</si>
  <si>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</si>
  <si>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</si>
  <si>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</si>
  <si>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</si>
  <si>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</si>
  <si>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</si>
  <si>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</si>
  <si>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</si>
  <si>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</si>
  <si>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</si>
  <si>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</si>
  <si>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</si>
  <si>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</si>
  <si>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</si>
  <si>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</si>
  <si>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</si>
  <si>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</si>
  <si>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</si>
  <si>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</si>
  <si>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</si>
  <si>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</si>
  <si>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</si>
  <si>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</si>
  <si>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</si>
  <si>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</si>
  <si>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</si>
  <si>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</si>
  <si>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</si>
  <si>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</si>
  <si>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</si>
  <si>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</si>
  <si>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</si>
  <si>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</si>
  <si>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</si>
  <si>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</si>
  <si>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</si>
  <si>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</si>
  <si>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</si>
  <si>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</si>
  <si>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</si>
  <si>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</si>
  <si>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</si>
  <si>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</si>
  <si>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</si>
  <si>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</si>
  <si>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</si>
  <si>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</si>
  <si>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</si>
  <si>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</si>
  <si>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</si>
  <si>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</si>
  <si>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</si>
  <si>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</si>
  <si>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</si>
  <si>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</si>
  <si>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</si>
  <si>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</si>
  <si>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</si>
  <si>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</si>
  <si>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</si>
  <si>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</si>
  <si>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</si>
  <si>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</si>
  <si>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</si>
  <si>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</si>
  <si>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</si>
  <si>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</si>
  <si>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</si>
  <si>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</si>
  <si>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</si>
  <si>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</si>
  <si>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</si>
  <si>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</si>
  <si>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</si>
  <si>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</si>
  <si>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</si>
  <si>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</si>
  <si>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</si>
  <si>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</si>
  <si>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</si>
  <si>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</si>
  <si>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</si>
  <si>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</si>
  <si>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</si>
  <si>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</si>
  <si>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</si>
  <si>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</si>
  <si>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</si>
  <si>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</si>
  <si>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</si>
  <si>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</si>
  <si>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</si>
  <si>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</si>
  <si>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</si>
  <si>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</si>
  <si>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</si>
  <si>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</si>
  <si>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</si>
  <si>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</si>
  <si>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</si>
  <si>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</si>
  <si>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</si>
  <si>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</si>
  <si>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</si>
  <si>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</si>
  <si>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</si>
  <si>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</si>
  <si>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</si>
  <si>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</si>
  <si>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</si>
  <si>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</si>
  <si>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</si>
  <si>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</si>
  <si>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</si>
  <si>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</si>
  <si>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</si>
  <si>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</si>
  <si>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</si>
  <si>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</si>
  <si>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</si>
  <si>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</si>
  <si>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</si>
  <si>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</si>
  <si>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</si>
  <si>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</si>
  <si>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</si>
  <si>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</si>
  <si>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</si>
  <si>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</si>
  <si>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</si>
  <si>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</si>
  <si>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</si>
  <si>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</si>
  <si>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</si>
  <si>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</si>
  <si>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</si>
  <si>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</si>
  <si>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</si>
  <si>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</si>
  <si>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</si>
  <si>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</si>
  <si>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</si>
  <si>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</si>
  <si>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</si>
  <si>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</si>
  <si>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</si>
  <si>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</si>
  <si>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</si>
  <si>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</si>
  <si>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</si>
  <si>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</si>
  <si>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</si>
  <si>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</si>
  <si>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</si>
  <si>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</si>
  <si>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</si>
  <si>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</si>
  <si>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</si>
  <si>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</si>
  <si>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</si>
  <si>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</si>
  <si>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</si>
  <si>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</si>
  <si>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</si>
  <si>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</si>
  <si>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</si>
  <si>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</si>
  <si>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</si>
  <si>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</si>
  <si>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</si>
  <si>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</si>
  <si>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</si>
  <si>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</si>
  <si>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</si>
  <si>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</si>
  <si>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</si>
  <si>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</si>
  <si>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</si>
  <si>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</si>
  <si>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</si>
  <si>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</si>
  <si>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</si>
  <si>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</si>
  <si>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</si>
  <si>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</si>
  <si>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</si>
  <si>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</si>
  <si>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</si>
  <si>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</si>
  <si>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</si>
  <si>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</si>
  <si>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</si>
  <si>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</si>
  <si>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</si>
  <si>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</si>
  <si>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</si>
  <si>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</si>
  <si>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</si>
  <si>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</si>
  <si>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</si>
  <si>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</si>
  <si>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</si>
  <si>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</si>
  <si>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</si>
  <si>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</si>
  <si>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</si>
  <si>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</si>
  <si>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</si>
  <si>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</si>
  <si>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</si>
  <si>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</si>
  <si>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</si>
  <si>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</si>
  <si>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</si>
  <si>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</si>
  <si>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</si>
  <si>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</si>
  <si>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</si>
  <si>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</si>
  <si>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</si>
  <si>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</si>
  <si>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</si>
  <si>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</si>
  <si>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</si>
  <si>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</si>
  <si>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</si>
  <si>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</si>
  <si>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</si>
  <si>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</si>
  <si>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</si>
  <si>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</si>
  <si>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</si>
  <si>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</si>
  <si>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</si>
  <si>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</si>
  <si>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</si>
  <si>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</si>
  <si>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</si>
  <si>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</si>
  <si>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</si>
  <si>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</si>
  <si>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</si>
  <si>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</si>
  <si>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</si>
  <si>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</si>
  <si>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</si>
  <si>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</si>
  <si>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</si>
  <si>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</si>
  <si>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</si>
  <si>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</si>
  <si>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</si>
  <si>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</si>
  <si>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</si>
  <si>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</si>
  <si>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</si>
  <si>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</si>
  <si>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</si>
  <si>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</si>
  <si>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</si>
  <si>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</si>
  <si>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</si>
  <si>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</si>
  <si>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</si>
  <si>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</si>
  <si>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</si>
  <si>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</si>
  <si>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</si>
  <si>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</si>
  <si>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</si>
  <si>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</si>
  <si>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</si>
  <si>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</si>
  <si>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</si>
  <si>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</si>
  <si>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</si>
  <si>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</si>
  <si>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</si>
  <si>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</si>
  <si>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</si>
  <si>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</si>
  <si>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</si>
  <si>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</si>
  <si>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</si>
  <si>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</si>
  <si>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</si>
  <si>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</si>
  <si>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</si>
  <si>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</si>
  <si>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</si>
  <si>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</si>
  <si>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</si>
  <si>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</si>
  <si>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</si>
  <si>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</si>
  <si>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</si>
  <si>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</si>
  <si>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</si>
  <si>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</si>
  <si>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</si>
  <si>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</si>
  <si>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</si>
  <si>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</si>
  <si>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</si>
  <si>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</si>
  <si>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</si>
  <si>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</si>
  <si>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</si>
  <si>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</si>
  <si>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</si>
  <si>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</si>
  <si>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</si>
  <si>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</si>
  <si>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</si>
  <si>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</si>
  <si>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</si>
  <si>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</si>
  <si>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</si>
  <si>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</si>
  <si>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</si>
  <si>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</si>
  <si>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</si>
  <si>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</si>
  <si>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</si>
  <si>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</si>
  <si>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</si>
  <si>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</si>
  <si>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</si>
  <si>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</si>
  <si>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</si>
  <si>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</si>
  <si>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</si>
  <si>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</si>
  <si>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</si>
  <si>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</si>
  <si>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</si>
  <si>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</si>
  <si>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</si>
  <si>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</si>
  <si>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</si>
  <si>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</si>
  <si>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</si>
  <si>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</si>
  <si>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</si>
  <si>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</si>
  <si>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</si>
  <si>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</si>
  <si>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</si>
  <si>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</si>
  <si>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</si>
  <si>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</si>
  <si>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</si>
  <si>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</si>
  <si>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</si>
  <si>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</si>
  <si>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</si>
  <si>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</si>
  <si>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</si>
  <si>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</si>
  <si>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</si>
  <si>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</si>
  <si>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</si>
  <si>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</si>
  <si>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</si>
  <si>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</si>
  <si>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</si>
  <si>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</si>
  <si>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</si>
  <si>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</si>
  <si>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</si>
  <si>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</si>
  <si>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</si>
  <si>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</si>
  <si>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</si>
  <si>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</si>
  <si>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</si>
  <si>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</si>
  <si>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</si>
  <si>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</si>
  <si>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</si>
  <si>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</si>
  <si>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</si>
  <si>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</si>
  <si>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</si>
  <si>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</si>
  <si>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</si>
  <si>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</si>
  <si>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</si>
  <si>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</si>
  <si>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</si>
  <si>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</si>
  <si>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</si>
  <si>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</si>
  <si>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</si>
  <si>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</si>
  <si>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</si>
  <si>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</si>
  <si>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</si>
  <si>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</si>
  <si>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</si>
  <si>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</si>
  <si>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</si>
  <si>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</si>
  <si>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</si>
  <si>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</si>
  <si>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</si>
  <si>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</si>
  <si>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</si>
  <si>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</si>
  <si>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</si>
  <si>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</si>
  <si>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</si>
  <si>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</si>
  <si>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</si>
  <si>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</si>
  <si>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</si>
  <si>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</si>
  <si>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</si>
  <si>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</si>
  <si>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</si>
  <si>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</si>
  <si>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</si>
  <si>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</si>
  <si>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</si>
  <si>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</si>
  <si>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</si>
  <si>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</si>
  <si>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</si>
  <si>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</si>
  <si>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</si>
  <si>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</si>
  <si>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</si>
  <si>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</si>
  <si>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</si>
  <si>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</si>
  <si>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</si>
  <si>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</si>
  <si>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</si>
  <si>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</si>
  <si>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</si>
  <si>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</si>
  <si>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</si>
  <si>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</si>
  <si>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</si>
  <si>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</si>
  <si>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</si>
  <si>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</si>
  <si>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</si>
  <si>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</si>
  <si>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</si>
  <si>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</si>
  <si>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</si>
  <si>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</si>
  <si>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</si>
  <si>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</si>
  <si>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</si>
  <si>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</si>
  <si>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</si>
  <si>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</si>
  <si>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</si>
  <si>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</si>
  <si>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</si>
  <si>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</si>
  <si>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</si>
  <si>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</si>
  <si>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</si>
  <si>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</si>
  <si>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</si>
  <si>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</si>
  <si>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</si>
  <si>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</si>
  <si>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</si>
  <si>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</si>
  <si>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</si>
  <si>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</si>
  <si>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</si>
  <si>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</si>
  <si>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</si>
  <si>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</si>
  <si>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</si>
  <si>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</si>
  <si>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</si>
  <si>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</si>
  <si>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</si>
  <si>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</si>
  <si>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</si>
  <si>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</si>
  <si>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</si>
  <si>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</si>
  <si>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</si>
  <si>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</si>
  <si>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</si>
  <si>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</si>
  <si>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</si>
  <si>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</si>
  <si>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</si>
  <si>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</si>
  <si>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</si>
  <si>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</si>
  <si>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</si>
  <si>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</si>
  <si>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</si>
  <si>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</si>
  <si>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</si>
  <si>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</si>
  <si>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</si>
  <si>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</si>
  <si>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</si>
  <si>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</si>
  <si>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</si>
  <si>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</si>
  <si>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</si>
  <si>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</si>
  <si>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</si>
  <si>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</si>
  <si>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</si>
  <si>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</si>
  <si>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</si>
  <si>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</si>
  <si>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</si>
  <si>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</si>
  <si>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</si>
  <si>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</si>
  <si>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</si>
  <si>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</si>
  <si>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</si>
  <si>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</si>
  <si>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</si>
  <si>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</si>
  <si>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</si>
  <si>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</si>
  <si>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</si>
  <si>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</si>
  <si>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</si>
  <si>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</si>
  <si>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</si>
  <si>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</si>
  <si>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</si>
  <si>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</si>
  <si>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</si>
  <si>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</si>
  <si>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</si>
  <si>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</si>
  <si>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</si>
  <si>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</si>
  <si>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</si>
  <si>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</si>
  <si>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</si>
  <si>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</si>
  <si>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</si>
  <si>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</si>
  <si>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</si>
  <si>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</si>
  <si>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</si>
  <si>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</si>
  <si>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</si>
  <si>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</si>
  <si>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</si>
  <si>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</si>
  <si>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</si>
  <si>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</si>
  <si>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</si>
  <si>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</si>
  <si>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</si>
  <si>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</si>
  <si>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</si>
  <si>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</si>
  <si>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</si>
  <si>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</si>
  <si>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</si>
  <si>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</si>
  <si>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</si>
  <si>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</si>
  <si>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</si>
  <si>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</si>
  <si>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</si>
  <si>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</si>
  <si>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</si>
  <si>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</si>
  <si>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</si>
  <si>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</si>
  <si>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</si>
  <si>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</si>
  <si>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</si>
  <si>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</si>
  <si>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</si>
  <si>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</si>
  <si>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</si>
  <si>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</si>
  <si>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 xml:space="preserve">https://portal.eias.ru/Portal/DownloadPage.aspx?type=12&amp;guid=88903ddb-5239-4e27-b22a-d5bdc1b09a38 </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</si>
  <si>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</si>
  <si>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</si>
  <si>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</si>
  <si>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Федеральный закон "О закупках товаров, работ, услуг отдельными видами юридических лиц" от 18.07.2011 N 223-ФЗ</t>
  </si>
  <si>
    <t>http://www.consultant.ru/document/cons_doc_LAW_116964/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</si>
  <si>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</si>
  <si>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Утверждено Внеочередным общим собранием участников ООО "Смоленскрегионтеплоэнерго" от 26.01.2023 г.</t>
  </si>
  <si>
    <t>Ежегодный</t>
  </si>
  <si>
    <t>https://zakupki.gov.ru/epz/orderplan/purchase-plan/card/document-info.html?id=939681&amp;infoId=8086639</t>
  </si>
  <si>
    <t>Информация о заключенных и исполненных договорах</t>
  </si>
  <si>
    <t>https://zakupki.gov.ru/epz/order/extendedsearch/results.html?searchString=+%096730048214</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</si>
  <si>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</si>
  <si>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</si>
  <si>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</si>
  <si>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</si>
  <si>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</si>
  <si>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</si>
  <si>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</si>
  <si>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</si>
  <si>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</si>
  <si>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</si>
  <si>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</si>
  <si>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</si>
  <si>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</si>
  <si>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</si>
  <si>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</si>
  <si>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</si>
  <si>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</si>
  <si>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</si>
  <si>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</si>
  <si>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</si>
  <si>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</si>
  <si>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</si>
  <si>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</si>
  <si>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</si>
  <si>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</si>
  <si>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</si>
  <si>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</si>
  <si>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</si>
  <si>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</si>
  <si>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</si>
  <si>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</si>
  <si>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</si>
  <si>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</si>
  <si>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</si>
  <si>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</si>
  <si>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</si>
  <si>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</si>
  <si>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</si>
  <si>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</si>
  <si>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</si>
  <si>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</si>
  <si>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</si>
  <si>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</si>
  <si>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</si>
  <si>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</si>
  <si>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</si>
  <si>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</si>
  <si>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</si>
  <si>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</si>
  <si>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</si>
  <si>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</si>
  <si>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</si>
  <si>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</si>
  <si>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</si>
  <si>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</si>
  <si>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</si>
  <si>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</si>
  <si>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</si>
  <si>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</si>
  <si>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</si>
  <si>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</si>
  <si>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</si>
  <si>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</si>
  <si>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</si>
  <si>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</si>
  <si>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</si>
  <si>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</si>
  <si>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</si>
  <si>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</si>
  <si>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</si>
  <si>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</si>
  <si>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</si>
  <si>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</si>
  <si>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</si>
  <si>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</si>
  <si>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</si>
  <si>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</si>
  <si>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</si>
  <si>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</si>
  <si>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</si>
  <si>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</si>
  <si>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</si>
  <si>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</si>
  <si>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</si>
  <si>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</si>
  <si>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</si>
  <si>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</si>
  <si>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</si>
  <si>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</si>
  <si>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</si>
  <si>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</si>
  <si>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</si>
  <si>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</si>
  <si>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</si>
  <si>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</si>
  <si>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</si>
  <si>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</si>
  <si>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</si>
  <si>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</si>
  <si>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</si>
  <si>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</si>
  <si>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</si>
  <si>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</si>
  <si>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</si>
  <si>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</si>
  <si>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</si>
  <si>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</si>
  <si>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</si>
  <si>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</si>
  <si>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</si>
  <si>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</si>
  <si>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</si>
  <si>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</si>
  <si>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</si>
  <si>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</si>
  <si>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</si>
  <si>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</si>
  <si>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</si>
  <si>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</si>
  <si>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</si>
  <si>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</si>
  <si>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</si>
  <si>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</si>
  <si>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</si>
  <si>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</si>
  <si>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</si>
  <si>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</si>
  <si>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</si>
  <si>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</si>
  <si>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</si>
  <si>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</si>
  <si>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</si>
  <si>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</si>
  <si>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</si>
  <si>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</si>
  <si>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</si>
  <si>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</si>
  <si>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</si>
  <si>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</si>
  <si>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</si>
  <si>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</si>
  <si>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</si>
  <si>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</si>
  <si>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</si>
  <si>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</si>
  <si>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</si>
  <si>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</si>
  <si>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</si>
  <si>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</si>
  <si>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</si>
  <si>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</si>
  <si>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</si>
  <si>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</si>
  <si>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</si>
  <si>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</si>
  <si>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</si>
  <si>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</si>
  <si>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</si>
  <si>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</si>
  <si>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</si>
  <si>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</si>
  <si>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</si>
  <si>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</si>
  <si>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</si>
  <si>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</si>
  <si>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</si>
  <si>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</si>
  <si>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</si>
  <si>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</si>
  <si>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</si>
  <si>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</si>
  <si>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</si>
  <si>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</si>
  <si>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</si>
  <si>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</si>
  <si>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</si>
  <si>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</si>
  <si>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</si>
  <si>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</si>
  <si>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</si>
  <si>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</si>
  <si>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</si>
  <si>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</si>
  <si>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</si>
  <si>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</si>
  <si>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</si>
  <si>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</si>
  <si>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</si>
  <si>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</si>
  <si>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</si>
  <si>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</si>
  <si>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</si>
  <si>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</si>
  <si>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</si>
  <si>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</si>
  <si>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</si>
  <si>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</si>
  <si>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</si>
  <si>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</si>
  <si>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</si>
  <si>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</si>
  <si>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</si>
  <si>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</si>
  <si>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</si>
  <si>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</si>
  <si>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</si>
  <si>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</si>
  <si>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</si>
  <si>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</si>
  <si>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</si>
  <si>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</si>
  <si>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</si>
  <si>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</si>
  <si>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</si>
  <si>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</si>
  <si>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</si>
  <si>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</si>
  <si>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</si>
  <si>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</si>
  <si>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</si>
  <si>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</si>
  <si>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</si>
  <si>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</si>
  <si>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</si>
  <si>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</si>
  <si>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</si>
  <si>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</si>
  <si>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</si>
  <si>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</si>
  <si>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</si>
  <si>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</si>
  <si>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</si>
  <si>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</si>
  <si>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</si>
  <si>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</si>
  <si>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</si>
  <si>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</si>
  <si>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</si>
  <si>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</si>
  <si>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</si>
  <si>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</si>
  <si>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</si>
  <si>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</si>
  <si>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</si>
  <si>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</si>
  <si>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</si>
  <si>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</si>
  <si>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</si>
  <si>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</si>
  <si>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</si>
  <si>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</si>
  <si>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</si>
  <si>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</si>
  <si>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</si>
  <si>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</si>
  <si>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</si>
  <si>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</si>
  <si>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</si>
  <si>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</si>
  <si>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</si>
  <si>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</si>
  <si>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</si>
  <si>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</si>
  <si>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</si>
  <si>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</si>
  <si>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</si>
  <si>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</si>
  <si>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</si>
  <si>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</si>
  <si>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</si>
  <si>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</si>
  <si>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</si>
  <si>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</si>
  <si>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</si>
  <si>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</si>
  <si>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</si>
  <si>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</si>
  <si>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</si>
  <si>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</si>
  <si>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</si>
  <si>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</si>
  <si>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</si>
  <si>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</si>
  <si>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</si>
  <si>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</si>
  <si>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</si>
  <si>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</si>
  <si>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</si>
  <si>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</si>
  <si>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</si>
  <si>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</si>
  <si>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</si>
  <si>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</si>
  <si>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</si>
  <si>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</si>
  <si>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</si>
  <si>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</si>
  <si>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</si>
  <si>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</si>
  <si>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</si>
  <si>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</si>
  <si>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</si>
  <si>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</si>
  <si>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</si>
  <si>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</si>
  <si>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</si>
  <si>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</si>
  <si>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</si>
  <si>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</si>
  <si>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</si>
  <si>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</si>
  <si>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</si>
  <si>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</si>
  <si>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</si>
  <si>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</si>
  <si>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</si>
  <si>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</si>
  <si>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</si>
  <si>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</si>
  <si>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</si>
  <si>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</si>
  <si>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</si>
  <si>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</si>
  <si>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</si>
  <si>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</si>
  <si>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</si>
  <si>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</si>
  <si>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</si>
  <si>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</si>
  <si>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</si>
  <si>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</si>
  <si>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</si>
  <si>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</si>
  <si>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</si>
  <si>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</si>
  <si>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</si>
  <si>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</si>
  <si>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</si>
  <si>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</si>
  <si>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</si>
  <si>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</si>
  <si>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</si>
  <si>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</si>
  <si>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</si>
  <si>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</si>
  <si>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</si>
  <si>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</si>
  <si>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</si>
  <si>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</si>
  <si>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</si>
  <si>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</si>
  <si>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</si>
  <si>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</si>
  <si>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</si>
  <si>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</si>
  <si>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</si>
  <si>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</si>
  <si>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</si>
  <si>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</si>
  <si>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</si>
  <si>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</si>
  <si>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</si>
  <si>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</si>
  <si>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</si>
  <si>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</si>
  <si>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</si>
  <si>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</si>
  <si>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</si>
  <si>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</si>
  <si>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</si>
  <si>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</si>
  <si>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</si>
  <si>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</si>
  <si>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</si>
  <si>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</si>
  <si>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</si>
  <si>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</si>
  <si>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</si>
  <si>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</si>
  <si>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</si>
  <si>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</si>
  <si>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</si>
  <si>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</si>
  <si>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</si>
  <si>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</si>
  <si>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</si>
  <si>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</si>
  <si>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</si>
  <si>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</si>
  <si>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</si>
  <si>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</si>
  <si>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</si>
  <si>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</si>
  <si>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</si>
  <si>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</si>
  <si>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</si>
  <si>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</si>
  <si>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</si>
  <si>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</si>
  <si>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</si>
  <si>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</si>
  <si>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</si>
  <si>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</si>
  <si>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</si>
  <si>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</si>
  <si>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</si>
  <si>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</si>
  <si>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</si>
  <si>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</si>
  <si>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</si>
  <si>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</si>
  <si>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</si>
  <si>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</si>
  <si>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</si>
  <si>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</si>
  <si>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</si>
  <si>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</si>
  <si>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</si>
  <si>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</si>
  <si>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</si>
  <si>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</si>
  <si>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</si>
  <si>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</si>
  <si>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</si>
  <si>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</si>
  <si>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</si>
  <si>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</si>
  <si>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</si>
  <si>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</si>
  <si>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</si>
  <si>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</si>
  <si>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</si>
  <si>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</si>
  <si>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</si>
  <si>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</si>
  <si>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</si>
  <si>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</si>
  <si>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</si>
  <si>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</si>
  <si>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</si>
  <si>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</si>
  <si>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</si>
  <si>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</si>
  <si>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</si>
  <si>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</si>
  <si>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</si>
  <si>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</si>
  <si>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</si>
  <si>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</si>
  <si>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</si>
  <si>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</si>
  <si>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</si>
  <si>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</si>
  <si>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</si>
  <si>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</si>
  <si>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</si>
  <si>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</si>
  <si>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</si>
  <si>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</si>
  <si>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</si>
  <si>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</si>
  <si>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</si>
  <si>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</si>
  <si>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</si>
  <si>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</si>
  <si>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</si>
  <si>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</si>
  <si>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</si>
  <si>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</si>
  <si>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</si>
  <si>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</si>
  <si>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</si>
  <si>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</si>
  <si>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</si>
  <si>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</si>
  <si>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</si>
  <si>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</si>
  <si>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</si>
  <si>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</si>
  <si>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</si>
  <si>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</si>
  <si>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</si>
  <si>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</si>
  <si>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</si>
  <si>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</si>
  <si>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</si>
  <si>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</si>
  <si>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</si>
  <si>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</si>
  <si>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</si>
  <si>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</si>
  <si>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</si>
  <si>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</si>
  <si>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</si>
  <si>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</si>
  <si>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</si>
  <si>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</si>
  <si>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</si>
  <si>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</si>
  <si>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</si>
  <si>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</si>
  <si>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</si>
  <si>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</si>
  <si>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</si>
  <si>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</si>
  <si>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</si>
  <si>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</si>
  <si>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PT_NETS_LIST</t>
  </si>
  <si>
    <t>Республика Дагестан</t>
  </si>
  <si>
    <t>53</t>
  </si>
  <si>
    <t>Республика Ингушетия</t>
  </si>
  <si>
    <t>TERRITORY_ID</t>
  </si>
  <si>
    <t>511111111111111111111111111111111111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</si>
  <si>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</si>
  <si>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</si>
  <si>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</si>
  <si>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</si>
  <si>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</si>
  <si>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</si>
  <si>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</si>
  <si>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</si>
  <si>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</si>
  <si>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</si>
  <si>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</si>
  <si>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</si>
  <si>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</si>
  <si>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</si>
  <si>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</si>
  <si>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</si>
  <si>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</si>
  <si>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</si>
  <si>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</si>
  <si>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</si>
  <si>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</si>
  <si>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</si>
  <si>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</si>
  <si>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</si>
  <si>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</si>
  <si>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</si>
  <si>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</si>
  <si>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</si>
  <si>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</si>
  <si>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</si>
  <si>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</si>
  <si>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</si>
  <si>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</si>
  <si>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</si>
  <si>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</si>
  <si>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</si>
  <si>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</si>
  <si>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</si>
  <si>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</si>
  <si>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</si>
  <si>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</si>
  <si>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</si>
  <si>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</si>
  <si>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</si>
  <si>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</si>
  <si>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</si>
  <si>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</si>
  <si>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</si>
  <si>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</si>
  <si>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</si>
  <si>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</si>
  <si>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</si>
  <si>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</si>
  <si>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</si>
  <si>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</si>
  <si>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</si>
  <si>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</si>
  <si>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</si>
  <si>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</si>
  <si>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</si>
  <si>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</si>
  <si>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</si>
  <si>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</si>
  <si>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</si>
  <si>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</si>
  <si>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</si>
  <si>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</si>
  <si>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</si>
  <si>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</si>
  <si>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</si>
  <si>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</si>
  <si>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</si>
  <si>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</si>
  <si>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</si>
  <si>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</si>
  <si>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</si>
  <si>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</si>
  <si>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</si>
  <si>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</si>
  <si>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</si>
  <si>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</si>
  <si>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</si>
  <si>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</si>
  <si>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</si>
  <si>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</si>
  <si>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</si>
  <si>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</si>
  <si>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</si>
  <si>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</si>
  <si>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</si>
  <si>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</si>
  <si>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</si>
  <si>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</si>
  <si>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</si>
  <si>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</si>
  <si>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</si>
  <si>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</si>
  <si>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</si>
  <si>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</si>
  <si>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</si>
  <si>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</si>
  <si>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</si>
  <si>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</si>
  <si>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</si>
  <si>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</si>
  <si>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</si>
  <si>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</si>
  <si>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</si>
  <si>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</si>
  <si>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</si>
  <si>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</si>
  <si>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</si>
  <si>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</si>
  <si>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</si>
  <si>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</si>
  <si>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</si>
  <si>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</si>
  <si>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</si>
  <si>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</si>
  <si>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</si>
  <si>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</si>
  <si>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</si>
  <si>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</si>
  <si>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</si>
  <si>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</si>
  <si>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</si>
  <si>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</si>
  <si>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</si>
  <si>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</si>
  <si>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</si>
  <si>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</si>
  <si>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</si>
  <si>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</si>
  <si>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</si>
  <si>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</si>
  <si>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</si>
  <si>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</si>
  <si>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</si>
  <si>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</si>
  <si>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</si>
  <si>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</si>
  <si>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</si>
  <si>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</si>
  <si>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</si>
  <si>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</si>
  <si>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</si>
  <si>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</si>
  <si>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</si>
  <si>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</si>
  <si>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</si>
  <si>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</si>
  <si>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</si>
  <si>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</si>
  <si>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</si>
  <si>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</si>
  <si>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</si>
  <si>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</si>
  <si>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</si>
  <si>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</si>
  <si>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</si>
  <si>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</si>
  <si>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</si>
  <si>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</si>
  <si>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</si>
  <si>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</si>
  <si>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</si>
  <si>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</si>
  <si>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</si>
  <si>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</si>
  <si>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</si>
  <si>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</si>
  <si>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</si>
  <si>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</si>
  <si>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</si>
  <si>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</si>
  <si>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</si>
  <si>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</si>
  <si>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</si>
  <si>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</si>
  <si>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</si>
  <si>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</si>
  <si>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</si>
  <si>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</si>
  <si>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</si>
  <si>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</si>
  <si>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</si>
  <si>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</si>
  <si>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</si>
  <si>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</si>
  <si>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</si>
  <si>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</si>
  <si>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</si>
  <si>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</si>
  <si>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</si>
  <si>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</si>
  <si>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</si>
  <si>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</si>
  <si>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</si>
  <si>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</si>
  <si>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</si>
  <si>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</si>
  <si>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</si>
  <si>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</si>
  <si>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</si>
  <si>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</si>
  <si>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</si>
  <si>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</si>
  <si>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</si>
  <si>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</si>
  <si>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</si>
  <si>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</si>
  <si>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</si>
  <si>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</si>
  <si>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</si>
  <si>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</si>
  <si>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</si>
  <si>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</si>
  <si>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</si>
  <si>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</si>
  <si>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</si>
  <si>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</si>
  <si>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</si>
  <si>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</si>
  <si>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</si>
  <si>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</si>
  <si>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</si>
  <si>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</si>
  <si>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</si>
  <si>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</si>
  <si>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</si>
  <si>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</si>
  <si>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</si>
  <si>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</si>
  <si>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</si>
  <si>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</si>
  <si>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</si>
  <si>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</si>
  <si>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</si>
  <si>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</si>
  <si>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</si>
  <si>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</si>
  <si>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</si>
  <si>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</si>
  <si>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</si>
  <si>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</si>
  <si>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</si>
  <si>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</si>
  <si>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</si>
  <si>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</si>
  <si>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</si>
  <si>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</si>
  <si>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</si>
  <si>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</si>
  <si>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</si>
  <si>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</si>
  <si>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</si>
  <si>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</si>
  <si>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</si>
  <si>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</si>
  <si>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</si>
  <si>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</si>
  <si>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</si>
  <si>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</si>
  <si>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</si>
  <si>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</si>
  <si>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</si>
  <si>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</si>
  <si>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</si>
  <si>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</si>
  <si>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</si>
  <si>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</si>
  <si>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</si>
  <si>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</si>
  <si>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</si>
  <si>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</si>
  <si>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</si>
  <si>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</si>
  <si>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</si>
  <si>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</si>
  <si>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</si>
  <si>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</si>
  <si>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</si>
  <si>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</si>
  <si>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</si>
  <si>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</si>
  <si>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</si>
  <si>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</si>
  <si>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</si>
  <si>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</si>
  <si>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</si>
  <si>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</si>
  <si>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</si>
  <si>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</si>
  <si>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</si>
  <si>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</si>
  <si>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</si>
  <si>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</si>
  <si>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</si>
  <si>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</si>
  <si>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</si>
  <si>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</si>
  <si>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</si>
  <si>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</si>
  <si>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</si>
  <si>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</si>
  <si>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</si>
  <si>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</si>
  <si>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</si>
  <si>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</si>
  <si>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</si>
  <si>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</si>
  <si>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</si>
  <si>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</si>
  <si>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</si>
  <si>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</si>
  <si>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</si>
  <si>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</si>
  <si>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</si>
  <si>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</si>
  <si>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</si>
  <si>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</si>
  <si>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</si>
  <si>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</si>
  <si>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</si>
  <si>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</si>
  <si>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</si>
  <si>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</si>
  <si>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</si>
  <si>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</si>
  <si>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</si>
  <si>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</si>
  <si>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</si>
  <si>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</si>
  <si>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</si>
  <si>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</si>
  <si>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</si>
  <si>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</si>
  <si>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</si>
  <si>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</si>
  <si>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</si>
  <si>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</si>
  <si>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</si>
  <si>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</si>
  <si>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</si>
  <si>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</si>
  <si>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</si>
  <si>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</si>
  <si>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</si>
  <si>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</si>
  <si>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</si>
  <si>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</si>
  <si>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</si>
  <si>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</si>
  <si>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</si>
  <si>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</si>
  <si>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</si>
  <si>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</si>
  <si>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</si>
  <si>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</si>
  <si>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</si>
  <si>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</si>
  <si>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</si>
  <si>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</si>
  <si>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</si>
  <si>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</si>
  <si>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</si>
  <si>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</si>
  <si>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</si>
  <si>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</si>
  <si>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</si>
  <si>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</si>
  <si>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</si>
  <si>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</si>
  <si>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</si>
  <si>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</si>
  <si>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</si>
  <si>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</si>
  <si>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</si>
  <si>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</si>
  <si>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</si>
  <si>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</si>
  <si>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</si>
  <si>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</si>
  <si>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</si>
  <si>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</si>
  <si>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</si>
  <si>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</si>
  <si>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</si>
  <si>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</si>
  <si>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</si>
  <si>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</si>
  <si>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</si>
  <si>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</si>
  <si>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</si>
  <si>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</si>
  <si>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</si>
  <si>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</si>
  <si>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</si>
  <si>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</si>
  <si>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</si>
  <si>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</si>
  <si>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</si>
  <si>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</si>
  <si>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</si>
  <si>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</si>
  <si>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</si>
  <si>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</si>
  <si>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</si>
  <si>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</si>
  <si>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</si>
  <si>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</si>
  <si>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</si>
  <si>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</si>
  <si>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</si>
  <si>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</si>
  <si>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</si>
  <si>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</si>
  <si>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</si>
  <si>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</si>
  <si>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</si>
  <si>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</si>
  <si>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</si>
  <si>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</si>
  <si>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</si>
  <si>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</si>
  <si>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</si>
  <si>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</si>
  <si>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</si>
  <si>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</si>
  <si>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</si>
  <si>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</si>
  <si>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</si>
  <si>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</si>
  <si>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</si>
  <si>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</si>
  <si>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</si>
  <si>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</si>
  <si>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</si>
  <si>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</si>
  <si>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</si>
  <si>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</si>
  <si>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</si>
  <si>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</si>
  <si>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</si>
  <si>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</si>
  <si>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</si>
  <si>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</si>
  <si>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</si>
  <si>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</si>
  <si>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</si>
  <si>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</si>
  <si>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</si>
  <si>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</si>
  <si>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</si>
  <si>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</si>
  <si>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</si>
  <si>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</si>
  <si>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</si>
  <si>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</si>
  <si>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</si>
  <si>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</si>
  <si>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</si>
  <si>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</si>
  <si>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</si>
  <si>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</si>
  <si>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</si>
  <si>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</si>
  <si>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</si>
  <si>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</si>
  <si>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</si>
  <si>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</si>
  <si>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</si>
  <si>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</si>
  <si>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</si>
  <si>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</si>
  <si>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</si>
  <si>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</si>
  <si>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</si>
  <si>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</si>
  <si>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</si>
  <si>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</si>
  <si>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</si>
  <si>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</si>
  <si>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</si>
  <si>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</si>
  <si>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</si>
  <si>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</si>
  <si>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</si>
  <si>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</si>
  <si>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</si>
  <si>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</si>
  <si>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</si>
  <si>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</si>
  <si>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</si>
  <si>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</si>
  <si>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</si>
  <si>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</si>
  <si>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</si>
  <si>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</si>
  <si>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</si>
  <si>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</si>
  <si>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</si>
  <si>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</si>
  <si>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</si>
  <si>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</si>
  <si>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</si>
  <si>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</si>
  <si>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</si>
  <si>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</si>
  <si>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</si>
  <si>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</si>
  <si>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</si>
  <si>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</si>
  <si>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</si>
  <si>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</si>
  <si>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</si>
  <si>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</si>
  <si>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</si>
  <si>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</si>
  <si>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</si>
  <si>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</si>
  <si>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</si>
  <si>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</si>
  <si>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</si>
  <si>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</si>
  <si>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</si>
  <si>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</si>
  <si>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</si>
  <si>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</si>
  <si>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</si>
  <si>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</si>
  <si>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</si>
  <si>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</si>
  <si>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</si>
  <si>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</si>
  <si>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</si>
  <si>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</si>
  <si>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</si>
  <si>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</si>
  <si>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</si>
  <si>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</si>
  <si>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</si>
  <si>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</si>
  <si>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</si>
  <si>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</si>
  <si>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</si>
  <si>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</si>
  <si>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</si>
  <si>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</si>
  <si>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</si>
  <si>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</si>
  <si>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</si>
  <si>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</si>
  <si>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</si>
  <si>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</si>
  <si>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</si>
  <si>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</si>
  <si>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</si>
  <si>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</si>
  <si>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</si>
  <si>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</si>
  <si>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</si>
  <si>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</si>
  <si>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</si>
  <si>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</si>
  <si>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</si>
  <si>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</si>
  <si>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</si>
  <si>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</si>
  <si>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</si>
  <si>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</si>
  <si>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</si>
  <si>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</si>
  <si>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</si>
  <si>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</si>
  <si>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</si>
  <si>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</si>
  <si>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</si>
  <si>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</si>
  <si>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</si>
  <si>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</si>
  <si>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</si>
  <si>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</si>
  <si>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</si>
  <si>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</si>
  <si>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</si>
  <si>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</si>
  <si>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</si>
  <si>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</si>
  <si>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</si>
  <si>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</si>
  <si>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</si>
  <si>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</si>
  <si>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</si>
  <si>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</si>
  <si>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</si>
  <si>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</si>
  <si>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</si>
  <si>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</si>
  <si>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</si>
  <si>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</si>
  <si>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</si>
  <si>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</si>
  <si>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</si>
  <si>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</si>
  <si>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</si>
  <si>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</si>
  <si>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</si>
  <si>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</si>
  <si>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</si>
  <si>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</si>
  <si>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</si>
  <si>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</si>
  <si>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</si>
  <si>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</si>
  <si>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</si>
  <si>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</si>
  <si>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</si>
  <si>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</si>
  <si>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</si>
  <si>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</si>
  <si>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</si>
  <si>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</si>
  <si>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</si>
  <si>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</si>
  <si>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</si>
  <si>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</si>
  <si>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</si>
  <si>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</si>
  <si>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</si>
  <si>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</si>
  <si>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</si>
  <si>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</si>
  <si>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</si>
  <si>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</si>
  <si>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</si>
  <si>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</si>
  <si>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</si>
  <si>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</si>
  <si>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</si>
  <si>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</si>
  <si>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</si>
  <si>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</si>
  <si>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</si>
  <si>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</si>
  <si>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</si>
  <si>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</si>
  <si>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</si>
  <si>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</si>
  <si>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</si>
  <si>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</si>
  <si>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</si>
  <si>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</si>
  <si>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</si>
  <si>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</si>
  <si>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</si>
  <si>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</si>
  <si>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</si>
  <si>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</si>
  <si>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</si>
  <si>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</si>
  <si>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</si>
  <si>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</si>
  <si>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</si>
  <si>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</si>
  <si>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</si>
  <si>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</si>
  <si>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</si>
  <si>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</si>
  <si>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</si>
  <si>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</si>
  <si>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</si>
  <si>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</si>
  <si>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</si>
  <si>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</si>
  <si>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</si>
  <si>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</si>
  <si>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</si>
  <si>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</si>
  <si>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</si>
  <si>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</si>
  <si>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</si>
  <si>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</si>
  <si>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</si>
  <si>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</si>
  <si>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</si>
  <si>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</si>
  <si>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</si>
  <si>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</si>
  <si>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</si>
  <si>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</si>
  <si>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</si>
  <si>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</si>
  <si>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</si>
  <si>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</si>
  <si>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</si>
  <si>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</si>
  <si>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</si>
  <si>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</si>
  <si>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</si>
  <si>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</si>
  <si>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</si>
  <si>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26375047</t>
  </si>
  <si>
    <t>МУП "Коммунальщик"</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</si>
  <si>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</si>
  <si>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</si>
  <si>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</si>
  <si>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</si>
  <si>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</si>
  <si>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</si>
  <si>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</si>
  <si>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</si>
  <si>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</si>
  <si>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</si>
  <si>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</si>
  <si>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</si>
  <si>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</si>
  <si>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</si>
  <si>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</si>
  <si>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</si>
  <si>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</si>
  <si>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</si>
  <si>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</si>
  <si>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</si>
  <si>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</si>
  <si>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</si>
  <si>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</si>
  <si>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</si>
  <si>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</si>
  <si>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</si>
  <si>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</si>
  <si>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</si>
  <si>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</si>
  <si>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</si>
  <si>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</si>
  <si>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</si>
  <si>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</si>
  <si>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</si>
  <si>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</si>
  <si>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</si>
  <si>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</si>
  <si>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</si>
  <si>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</si>
  <si>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</si>
  <si>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</si>
  <si>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</si>
  <si>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</si>
  <si>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</si>
  <si>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</si>
  <si>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</si>
  <si>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</si>
  <si>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</si>
  <si>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</si>
  <si>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</si>
  <si>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</si>
  <si>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</si>
  <si>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</si>
  <si>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</si>
  <si>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</si>
  <si>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</si>
  <si>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</si>
  <si>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</si>
  <si>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</si>
  <si>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</si>
  <si>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</si>
  <si>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</si>
  <si>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</si>
  <si>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</si>
  <si>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</si>
  <si>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</si>
  <si>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</si>
  <si>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</si>
  <si>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</si>
  <si>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</si>
  <si>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</si>
  <si>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</si>
  <si>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</si>
  <si>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</si>
  <si>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</si>
  <si>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</si>
  <si>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</si>
  <si>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</si>
  <si>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</si>
  <si>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</si>
  <si>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</si>
  <si>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</si>
  <si>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</si>
  <si>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</si>
  <si>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</si>
  <si>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</si>
  <si>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</si>
  <si>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</si>
  <si>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</si>
  <si>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</si>
  <si>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</si>
  <si>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</si>
  <si>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</si>
  <si>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</si>
  <si>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</si>
  <si>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</si>
  <si>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</si>
  <si>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</si>
  <si>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</si>
  <si>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</si>
  <si>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</si>
  <si>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</si>
  <si>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</si>
  <si>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</si>
  <si>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</si>
  <si>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</si>
  <si>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</si>
  <si>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</si>
  <si>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</si>
  <si>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</si>
  <si>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</si>
  <si>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</si>
  <si>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</si>
  <si>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</si>
  <si>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</si>
  <si>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</si>
  <si>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</si>
  <si>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</si>
  <si>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</si>
  <si>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</si>
  <si>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</si>
  <si>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</si>
  <si>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</si>
  <si>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</si>
  <si>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</si>
  <si>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</si>
  <si>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</si>
  <si>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</si>
  <si>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</si>
  <si>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</si>
  <si>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</si>
  <si>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</si>
  <si>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</si>
  <si>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</si>
  <si>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</si>
  <si>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</si>
  <si>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</si>
  <si>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</si>
  <si>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</si>
  <si>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</si>
  <si>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</si>
  <si>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</si>
  <si>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</si>
  <si>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</si>
  <si>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</si>
  <si>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</si>
  <si>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</si>
  <si>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</si>
  <si>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</si>
  <si>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</si>
  <si>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</si>
  <si>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</si>
  <si>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</si>
  <si>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</si>
  <si>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</si>
  <si>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</si>
  <si>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</si>
  <si>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</si>
  <si>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</si>
  <si>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</si>
  <si>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</si>
  <si>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</si>
  <si>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</si>
  <si>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</si>
  <si>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</si>
  <si>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</si>
  <si>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</si>
  <si>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</si>
  <si>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</si>
  <si>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</si>
  <si>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</si>
  <si>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</si>
  <si>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</si>
  <si>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</si>
  <si>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</si>
  <si>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</si>
  <si>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</si>
  <si>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</si>
  <si>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</si>
  <si>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</si>
  <si>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</si>
  <si>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</si>
  <si>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</si>
  <si>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</si>
  <si>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</si>
  <si>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</si>
  <si>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</si>
  <si>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</si>
  <si>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</si>
  <si>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</si>
  <si>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</si>
  <si>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</si>
  <si>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</si>
  <si>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</si>
  <si>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</si>
  <si>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</si>
  <si>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</si>
  <si>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</si>
  <si>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</si>
  <si>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</si>
  <si>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</si>
  <si>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</si>
  <si>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</si>
  <si>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</si>
  <si>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</si>
  <si>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</si>
  <si>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</si>
  <si>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</si>
  <si>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</si>
  <si>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</si>
  <si>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</si>
  <si>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</si>
  <si>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</si>
  <si>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</si>
  <si>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</si>
  <si>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</si>
  <si>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</si>
  <si>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</si>
  <si>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</si>
  <si>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</si>
  <si>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</si>
  <si>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</si>
  <si>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</si>
  <si>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</si>
  <si>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</si>
  <si>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</si>
  <si>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</si>
  <si>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</si>
  <si>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</si>
  <si>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</si>
  <si>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</si>
  <si>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</si>
  <si>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</si>
  <si>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</si>
  <si>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</si>
  <si>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</si>
  <si>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</si>
  <si>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</si>
  <si>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</si>
  <si>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</si>
  <si>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</si>
  <si>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</si>
  <si>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</si>
  <si>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</si>
  <si>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</si>
  <si>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</si>
  <si>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</si>
  <si>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</si>
  <si>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</si>
  <si>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</si>
  <si>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</si>
  <si>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</si>
  <si>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</si>
  <si>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</si>
  <si>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</si>
  <si>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</si>
  <si>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</si>
  <si>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</si>
  <si>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</si>
  <si>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</si>
  <si>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</si>
  <si>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</si>
  <si>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</si>
  <si>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</si>
  <si>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</si>
  <si>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</si>
  <si>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</si>
  <si>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</si>
  <si>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</si>
  <si>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</si>
  <si>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</si>
  <si>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</si>
  <si>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</si>
  <si>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</si>
  <si>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</si>
  <si>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</si>
  <si>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</si>
  <si>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</si>
  <si>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</si>
  <si>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</si>
  <si>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</si>
  <si>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</si>
  <si>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</si>
  <si>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</si>
  <si>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</si>
  <si>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</si>
  <si>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</si>
  <si>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</si>
  <si>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</si>
  <si>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</si>
  <si>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</si>
  <si>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</si>
  <si>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</si>
  <si>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</si>
  <si>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</si>
  <si>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</si>
  <si>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</si>
  <si>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</si>
  <si>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</si>
  <si>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</si>
  <si>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</si>
  <si>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</si>
  <si>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</si>
  <si>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</si>
  <si>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</si>
  <si>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</si>
  <si>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</si>
  <si>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</si>
  <si>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</si>
  <si>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</si>
  <si>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</si>
  <si>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</si>
  <si>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</si>
  <si>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</si>
  <si>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</si>
  <si>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</si>
  <si>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</si>
  <si>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</si>
  <si>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</si>
  <si>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</si>
  <si>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</si>
  <si>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</si>
  <si>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</si>
  <si>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</si>
  <si>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</si>
  <si>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</si>
  <si>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</si>
  <si>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</si>
  <si>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</si>
  <si>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</si>
  <si>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</si>
  <si>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</si>
  <si>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</si>
  <si>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</si>
  <si>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</si>
  <si>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</si>
  <si>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</si>
  <si>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</si>
  <si>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</si>
  <si>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</si>
  <si>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</si>
  <si>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</si>
  <si>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</si>
  <si>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</si>
  <si>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</si>
  <si>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</si>
  <si>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</si>
  <si>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</si>
  <si>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</si>
  <si>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</si>
  <si>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</si>
  <si>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</si>
  <si>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</si>
  <si>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</si>
  <si>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</si>
  <si>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</si>
  <si>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</si>
  <si>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</si>
  <si>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</si>
  <si>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</si>
  <si>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</si>
  <si>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</si>
  <si>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</si>
  <si>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</si>
  <si>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</si>
  <si>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</si>
  <si>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</si>
  <si>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</si>
  <si>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</si>
  <si>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</si>
  <si>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</si>
  <si>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</si>
  <si>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</si>
  <si>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</si>
  <si>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</si>
  <si>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</si>
  <si>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</si>
  <si>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</si>
  <si>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</si>
  <si>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</si>
  <si>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</si>
  <si>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</si>
  <si>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</si>
  <si>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</si>
  <si>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</si>
  <si>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</si>
  <si>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</si>
  <si>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</si>
  <si>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</si>
  <si>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</si>
  <si>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</si>
  <si>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</si>
  <si>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</si>
  <si>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</si>
  <si>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</si>
  <si>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</si>
  <si>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</si>
  <si>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</si>
  <si>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</si>
  <si>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</si>
  <si>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</si>
  <si>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</si>
  <si>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</si>
  <si>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</si>
  <si>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</si>
  <si>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</si>
  <si>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</si>
  <si>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</si>
  <si>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</si>
  <si>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</si>
  <si>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</si>
  <si>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</si>
  <si>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</si>
  <si>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</si>
  <si>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</si>
  <si>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</si>
  <si>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</si>
  <si>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</si>
  <si>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</si>
  <si>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</si>
  <si>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</si>
  <si>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</si>
  <si>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</si>
  <si>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</si>
  <si>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</si>
  <si>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</si>
  <si>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</si>
  <si>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</si>
  <si>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</si>
  <si>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</si>
  <si>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</si>
  <si>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</si>
  <si>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</si>
  <si>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</si>
  <si>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</si>
  <si>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</si>
  <si>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</si>
  <si>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</si>
  <si>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</si>
  <si>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</si>
  <si>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</si>
  <si>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</si>
  <si>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</si>
  <si>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</si>
  <si>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</si>
  <si>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</si>
  <si>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</si>
  <si>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</si>
  <si>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</si>
  <si>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</si>
  <si>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</si>
  <si>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</si>
  <si>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</si>
  <si>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</si>
  <si>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</si>
  <si>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</si>
  <si>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</si>
  <si>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</si>
  <si>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</si>
  <si>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</si>
  <si>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</si>
  <si>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</si>
  <si>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</si>
  <si>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</si>
  <si>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</si>
  <si>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</si>
  <si>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</si>
  <si>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</si>
  <si>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</si>
  <si>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</si>
  <si>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</si>
  <si>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</si>
  <si>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31832934</t>
  </si>
  <si>
    <t>МУП "УКХ"</t>
  </si>
  <si>
    <t>6700026245</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</si>
  <si>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</si>
  <si>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</si>
  <si>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</si>
  <si>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</si>
  <si>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</si>
  <si>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</si>
  <si>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</si>
  <si>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</si>
  <si>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</si>
  <si>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</si>
  <si>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</si>
  <si>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</si>
  <si>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</si>
  <si>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</si>
  <si>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</si>
  <si>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</si>
  <si>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</si>
  <si>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</si>
  <si>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</si>
  <si>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</si>
  <si>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</si>
  <si>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</si>
  <si>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</si>
  <si>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</si>
  <si>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</si>
  <si>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</si>
  <si>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</si>
  <si>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</si>
  <si>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</si>
  <si>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</si>
  <si>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</si>
  <si>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</si>
  <si>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</si>
  <si>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</si>
  <si>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</si>
  <si>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</si>
  <si>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</si>
  <si>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</si>
  <si>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</si>
  <si>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</si>
  <si>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</si>
  <si>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</si>
  <si>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</si>
  <si>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</si>
  <si>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</si>
  <si>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</si>
  <si>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</si>
  <si>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</si>
  <si>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</si>
  <si>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</si>
  <si>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</si>
  <si>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</si>
  <si>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</si>
  <si>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</si>
  <si>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</si>
  <si>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</si>
  <si>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</si>
  <si>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</si>
  <si>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</si>
  <si>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</si>
  <si>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</si>
  <si>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</si>
  <si>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</si>
  <si>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</si>
  <si>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</si>
  <si>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</si>
  <si>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</si>
  <si>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</si>
  <si>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</si>
  <si>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</si>
  <si>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</si>
  <si>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</si>
  <si>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</si>
  <si>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</si>
  <si>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</si>
  <si>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</si>
  <si>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</si>
  <si>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</si>
  <si>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</si>
  <si>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</si>
  <si>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</si>
  <si>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</si>
  <si>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</si>
  <si>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</si>
  <si>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</si>
  <si>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</si>
  <si>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</si>
  <si>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</si>
  <si>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</si>
  <si>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</si>
  <si>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</si>
  <si>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</si>
  <si>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</si>
  <si>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</si>
  <si>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</si>
  <si>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</si>
  <si>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</si>
  <si>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</si>
  <si>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</si>
  <si>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</si>
  <si>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</si>
  <si>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</si>
  <si>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</si>
  <si>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</si>
  <si>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</si>
  <si>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</si>
  <si>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</si>
  <si>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</si>
  <si>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</si>
  <si>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</si>
  <si>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</si>
  <si>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</si>
  <si>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</si>
  <si>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</si>
  <si>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</si>
  <si>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</si>
  <si>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</si>
  <si>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</si>
  <si>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</si>
  <si>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</si>
  <si>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</si>
  <si>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</si>
  <si>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</si>
  <si>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</si>
  <si>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</si>
  <si>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</si>
  <si>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</si>
  <si>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</si>
  <si>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</si>
  <si>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</si>
  <si>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</si>
  <si>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</si>
  <si>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</si>
  <si>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</si>
  <si>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</si>
  <si>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</si>
  <si>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</si>
  <si>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</si>
  <si>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</si>
  <si>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</si>
  <si>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</si>
  <si>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</si>
  <si>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</si>
  <si>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</si>
  <si>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</si>
  <si>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</si>
  <si>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</si>
  <si>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</si>
  <si>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</si>
  <si>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</si>
  <si>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</si>
  <si>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</si>
  <si>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</si>
  <si>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</si>
  <si>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</si>
  <si>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</si>
  <si>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</si>
  <si>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</si>
  <si>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</si>
  <si>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</si>
  <si>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</si>
  <si>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</si>
  <si>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</si>
  <si>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</si>
  <si>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</si>
  <si>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</si>
  <si>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</si>
  <si>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</si>
  <si>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</si>
  <si>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</si>
  <si>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</si>
  <si>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</si>
  <si>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</si>
  <si>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</si>
  <si>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</si>
  <si>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</si>
  <si>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</si>
  <si>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</si>
  <si>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</si>
  <si>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</si>
  <si>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</si>
  <si>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</si>
  <si>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</si>
  <si>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</si>
  <si>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</si>
  <si>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</si>
  <si>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</si>
  <si>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</si>
  <si>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</si>
  <si>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район</t>
  </si>
  <si>
    <t>66605000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</si>
  <si>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</si>
  <si>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</si>
  <si>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</si>
  <si>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</si>
  <si>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</si>
  <si>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</si>
  <si>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</si>
  <si>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</si>
  <si>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</si>
  <si>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</si>
  <si>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</si>
  <si>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</si>
  <si>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</si>
  <si>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</si>
  <si>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</si>
  <si>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</si>
  <si>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Гагаринский муниципальный район</t>
  </si>
  <si>
    <t>66608000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</si>
  <si>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</si>
  <si>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</si>
  <si>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</si>
  <si>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</si>
  <si>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</si>
  <si>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</si>
  <si>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</si>
  <si>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</si>
  <si>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</si>
  <si>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</si>
  <si>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</si>
  <si>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</si>
  <si>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</si>
  <si>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</si>
  <si>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</si>
  <si>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</si>
  <si>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</si>
  <si>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</si>
  <si>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</si>
  <si>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</si>
  <si>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</si>
  <si>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</si>
  <si>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</si>
  <si>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</si>
  <si>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</si>
  <si>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</si>
  <si>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</si>
  <si>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</si>
  <si>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</si>
  <si>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</si>
  <si>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</si>
  <si>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</si>
  <si>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</si>
  <si>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</si>
  <si>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</si>
  <si>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</si>
  <si>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</si>
  <si>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</si>
  <si>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</si>
  <si>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</si>
  <si>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район</t>
  </si>
  <si>
    <t>66614000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</si>
  <si>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</si>
  <si>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</si>
  <si>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</si>
  <si>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</si>
  <si>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</si>
  <si>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</si>
  <si>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</si>
  <si>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</si>
  <si>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</si>
  <si>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</si>
  <si>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</si>
  <si>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</si>
  <si>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</si>
  <si>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</si>
  <si>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</si>
  <si>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</si>
  <si>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</si>
  <si>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</si>
  <si>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</si>
  <si>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</si>
  <si>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</si>
  <si>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</si>
  <si>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район</t>
  </si>
  <si>
    <t>66619000</t>
  </si>
  <si>
    <t>Бобровичское</t>
  </si>
  <si>
    <t>66619416</t>
  </si>
  <si>
    <t>Ельнинское городское поселение</t>
  </si>
  <si>
    <t>66619101</t>
  </si>
  <si>
    <t>Коробецкое</t>
  </si>
  <si>
    <t>66619440</t>
  </si>
  <si>
    <t>Леонидовское</t>
  </si>
  <si>
    <t>66619452</t>
  </si>
  <si>
    <t>Ершичский муниципальный район</t>
  </si>
  <si>
    <t>66621000</t>
  </si>
  <si>
    <t>Воргинское</t>
  </si>
  <si>
    <t>66621414</t>
  </si>
  <si>
    <t>60</t>
  </si>
  <si>
    <t>Ершичское</t>
  </si>
  <si>
    <t>66621433</t>
  </si>
  <si>
    <t>61</t>
  </si>
  <si>
    <t>Кузьмичское</t>
  </si>
  <si>
    <t>66621444</t>
  </si>
  <si>
    <t>62</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</si>
  <si>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</si>
  <si>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</si>
  <si>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</si>
  <si>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</si>
  <si>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</si>
  <si>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</si>
  <si>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</si>
  <si>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</si>
  <si>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</si>
  <si>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</si>
  <si>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</si>
  <si>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</si>
  <si>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</si>
  <si>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</si>
  <si>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</si>
  <si>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</si>
  <si>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</si>
  <si>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</si>
  <si>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</si>
  <si>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</si>
  <si>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</si>
  <si>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</si>
  <si>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</si>
  <si>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</si>
  <si>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</si>
  <si>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</si>
  <si>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</si>
  <si>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</si>
  <si>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</si>
  <si>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</si>
  <si>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</si>
  <si>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</si>
  <si>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</si>
  <si>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</si>
  <si>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округ</t>
  </si>
  <si>
    <t>66527000</t>
  </si>
  <si>
    <t>76</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</si>
  <si>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</si>
  <si>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</si>
  <si>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</si>
  <si>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</si>
  <si>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</si>
  <si>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</si>
  <si>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</si>
  <si>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</si>
  <si>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</si>
  <si>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</si>
  <si>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</si>
  <si>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</si>
  <si>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</si>
  <si>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</si>
  <si>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</si>
  <si>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</si>
  <si>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</si>
  <si>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</si>
  <si>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</si>
  <si>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</si>
  <si>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</si>
  <si>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</si>
  <si>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</si>
  <si>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</si>
  <si>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</si>
  <si>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</si>
  <si>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</si>
  <si>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</si>
  <si>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</si>
  <si>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</si>
  <si>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</si>
  <si>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</si>
  <si>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</si>
  <si>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</si>
  <si>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</si>
  <si>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</si>
  <si>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</si>
  <si>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</si>
  <si>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</si>
  <si>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</si>
  <si>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</si>
  <si>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91</t>
  </si>
  <si>
    <t>Починковский муниципальный район</t>
  </si>
  <si>
    <t>66633000</t>
  </si>
  <si>
    <t>Ленинское</t>
  </si>
  <si>
    <t>66633445</t>
  </si>
  <si>
    <t>93</t>
  </si>
  <si>
    <t>Мурыгинское</t>
  </si>
  <si>
    <t>66633450</t>
  </si>
  <si>
    <t>94</t>
  </si>
  <si>
    <t>95</t>
  </si>
  <si>
    <t>Починковское</t>
  </si>
  <si>
    <t>66633101</t>
  </si>
  <si>
    <t>96</t>
  </si>
  <si>
    <t>Прудковское</t>
  </si>
  <si>
    <t>66633465</t>
  </si>
  <si>
    <t>97</t>
  </si>
  <si>
    <t>Стодолищенское</t>
  </si>
  <si>
    <t>66633485</t>
  </si>
  <si>
    <t>98</t>
  </si>
  <si>
    <t>Шаталовское</t>
  </si>
  <si>
    <t>66633495</t>
  </si>
  <si>
    <t>99</t>
  </si>
  <si>
    <t>Рославльский муниципальный район</t>
  </si>
  <si>
    <t>66636000</t>
  </si>
  <si>
    <t>Астапковичское</t>
  </si>
  <si>
    <t>66636408</t>
  </si>
  <si>
    <t>101</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</si>
  <si>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</si>
  <si>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</si>
  <si>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</si>
  <si>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</si>
  <si>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</si>
  <si>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</si>
  <si>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</si>
  <si>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</si>
  <si>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</si>
  <si>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</si>
  <si>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</si>
  <si>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</si>
  <si>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</si>
  <si>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</si>
  <si>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</si>
  <si>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</si>
  <si>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</si>
  <si>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</si>
  <si>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</si>
  <si>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</si>
  <si>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</si>
  <si>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109</t>
  </si>
  <si>
    <t>Рославльское</t>
  </si>
  <si>
    <t>66636101</t>
  </si>
  <si>
    <t>110</t>
  </si>
  <si>
    <t>Сырокоренское</t>
  </si>
  <si>
    <t>66636488</t>
  </si>
  <si>
    <t>111</t>
  </si>
  <si>
    <t>Руднянский муниципальный округ</t>
  </si>
  <si>
    <t>66538000</t>
  </si>
  <si>
    <t>112</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</si>
  <si>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</si>
  <si>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</si>
  <si>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</si>
  <si>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</si>
  <si>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</si>
  <si>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</si>
  <si>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</si>
  <si>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</si>
  <si>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</si>
  <si>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</si>
  <si>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</si>
  <si>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</si>
  <si>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</si>
  <si>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</si>
  <si>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</si>
  <si>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</si>
  <si>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</si>
  <si>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</si>
  <si>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</si>
  <si>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</si>
  <si>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</si>
  <si>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Сафоновский муниципальный район</t>
  </si>
  <si>
    <t>66641000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</si>
  <si>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</si>
  <si>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</si>
  <si>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</si>
  <si>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</si>
  <si>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</si>
  <si>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</si>
  <si>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</si>
  <si>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</si>
  <si>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</si>
  <si>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</si>
  <si>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</si>
  <si>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</si>
  <si>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</si>
  <si>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</si>
  <si>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</si>
  <si>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</si>
  <si>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</si>
  <si>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</si>
  <si>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</si>
  <si>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</si>
  <si>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</si>
  <si>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</si>
  <si>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</si>
  <si>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</si>
  <si>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</si>
  <si>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</si>
  <si>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</si>
  <si>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</si>
  <si>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</si>
  <si>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</si>
  <si>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</si>
  <si>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</si>
  <si>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</si>
  <si>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Сафоновский</t>
  </si>
  <si>
    <t>66641101</t>
  </si>
  <si>
    <t>132</t>
  </si>
  <si>
    <t>133</t>
  </si>
  <si>
    <t>Старосельское</t>
  </si>
  <si>
    <t>66641485</t>
  </si>
  <si>
    <t>134</t>
  </si>
  <si>
    <t>Смоленский муниципальный район</t>
  </si>
  <si>
    <t>66644000</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</si>
  <si>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</si>
  <si>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</si>
  <si>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</si>
  <si>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</si>
  <si>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</si>
  <si>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</si>
  <si>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</si>
  <si>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</si>
  <si>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</si>
  <si>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</si>
  <si>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</si>
  <si>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</si>
  <si>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</si>
  <si>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</si>
  <si>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</si>
  <si>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</si>
  <si>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</si>
  <si>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</si>
  <si>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</si>
  <si>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</si>
  <si>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</si>
  <si>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</si>
  <si>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</si>
  <si>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</si>
  <si>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</si>
  <si>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</si>
  <si>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</si>
  <si>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</si>
  <si>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</si>
  <si>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</si>
  <si>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</si>
  <si>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</si>
  <si>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</si>
  <si>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</si>
  <si>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</si>
  <si>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</si>
  <si>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</si>
  <si>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</si>
  <si>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</si>
  <si>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</si>
  <si>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</si>
  <si>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</si>
  <si>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</si>
  <si>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</si>
  <si>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</si>
  <si>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</si>
  <si>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</si>
  <si>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</si>
  <si>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152</t>
  </si>
  <si>
    <t>Стабенское</t>
  </si>
  <si>
    <t>66644486</t>
  </si>
  <si>
    <t>153</t>
  </si>
  <si>
    <t>Талашкинское</t>
  </si>
  <si>
    <t>66644492</t>
  </si>
  <si>
    <t>154</t>
  </si>
  <si>
    <t>Хохловское</t>
  </si>
  <si>
    <t>66644498</t>
  </si>
  <si>
    <t>155</t>
  </si>
  <si>
    <t>Сычевский муниципальный район</t>
  </si>
  <si>
    <t>66646000</t>
  </si>
  <si>
    <t>Дугинское</t>
  </si>
  <si>
    <t>66646470</t>
  </si>
  <si>
    <t>157</t>
  </si>
  <si>
    <t>Караваевское</t>
  </si>
  <si>
    <t>66646425</t>
  </si>
  <si>
    <t>158</t>
  </si>
  <si>
    <t>Мальцевское сельское поселение</t>
  </si>
  <si>
    <t>66646420</t>
  </si>
  <si>
    <t>159</t>
  </si>
  <si>
    <t>66646410</t>
  </si>
  <si>
    <t>160</t>
  </si>
  <si>
    <t>161</t>
  </si>
  <si>
    <t>Сычевское</t>
  </si>
  <si>
    <t>66646101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</si>
  <si>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</si>
  <si>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</si>
  <si>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</si>
  <si>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</si>
  <si>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</si>
  <si>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</si>
  <si>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</si>
  <si>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</si>
  <si>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</si>
  <si>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</si>
  <si>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</si>
  <si>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</si>
  <si>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</si>
  <si>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</si>
  <si>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</si>
  <si>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</si>
  <si>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</si>
  <si>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</si>
  <si>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</si>
  <si>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</si>
  <si>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</si>
  <si>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</si>
  <si>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</si>
  <si>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</si>
  <si>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</si>
  <si>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</si>
  <si>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</si>
  <si>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</si>
  <si>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</si>
  <si>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</si>
  <si>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</si>
  <si>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</si>
  <si>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</si>
  <si>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</si>
  <si>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округ</t>
  </si>
  <si>
    <t>66552000</t>
  </si>
  <si>
    <t>174</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</si>
  <si>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</si>
  <si>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</si>
  <si>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</si>
  <si>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</si>
  <si>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</si>
  <si>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</si>
  <si>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</si>
  <si>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</si>
  <si>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</si>
  <si>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</si>
  <si>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</si>
  <si>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</si>
  <si>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</si>
  <si>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</si>
  <si>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</si>
  <si>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</si>
  <si>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</si>
  <si>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</si>
  <si>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</si>
  <si>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</si>
  <si>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</si>
  <si>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</si>
  <si>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</si>
  <si>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</si>
  <si>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66654000</t>
  </si>
  <si>
    <t>Агибаловское</t>
  </si>
  <si>
    <t>66654405</t>
  </si>
  <si>
    <t>184</t>
  </si>
  <si>
    <t>Богдановское сельское поселение</t>
  </si>
  <si>
    <t>66654415</t>
  </si>
  <si>
    <t>185</t>
  </si>
  <si>
    <t>Лехминское</t>
  </si>
  <si>
    <t>66654430</t>
  </si>
  <si>
    <t>187</t>
  </si>
  <si>
    <t>Тупиковское</t>
  </si>
  <si>
    <t>66654472</t>
  </si>
  <si>
    <t>188</t>
  </si>
  <si>
    <t>189</t>
  </si>
  <si>
    <t>Холм-Жирковское</t>
  </si>
  <si>
    <t>66654151</t>
  </si>
  <si>
    <t>190</t>
  </si>
  <si>
    <t>Шумячский муниципальный район</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</si>
  <si>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</si>
  <si>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</si>
  <si>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</si>
  <si>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</si>
  <si>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</si>
  <si>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</si>
  <si>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</si>
  <si>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</si>
  <si>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</si>
  <si>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</si>
  <si>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</si>
  <si>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</si>
  <si>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</si>
  <si>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</si>
  <si>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</si>
  <si>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</si>
  <si>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</si>
  <si>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</si>
  <si>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</si>
  <si>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</si>
  <si>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</si>
  <si>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</si>
  <si>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</si>
  <si>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Шумячское</t>
  </si>
  <si>
    <t>66656151</t>
  </si>
  <si>
    <t>200</t>
  </si>
  <si>
    <t>Ярцевский муниципальный район</t>
  </si>
  <si>
    <t>66658000</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</si>
  <si>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</si>
  <si>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</si>
  <si>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</si>
  <si>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</si>
  <si>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</si>
  <si>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</si>
  <si>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</si>
  <si>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</si>
  <si>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</si>
  <si>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</si>
  <si>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</si>
  <si>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</si>
  <si>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</si>
  <si>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</si>
  <si>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</si>
  <si>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207</t>
  </si>
  <si>
    <t>Ярцевское</t>
  </si>
  <si>
    <t>66658101</t>
  </si>
  <si>
    <t>208</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</si>
  <si>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</si>
  <si>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</si>
  <si>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</si>
  <si>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</si>
  <si>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</si>
  <si>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</si>
  <si>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</si>
  <si>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</si>
  <si>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</si>
  <si>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</si>
  <si>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</si>
  <si>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</si>
  <si>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</si>
  <si>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</si>
  <si>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</si>
  <si>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</si>
  <si>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</si>
  <si>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01.01.2025</t>
  </si>
  <si>
    <t>31.12.2027</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</si>
  <si>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</si>
  <si>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01.01.2024</t>
  </si>
  <si>
    <t>31.12.2028</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</si>
  <si>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</si>
  <si>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</si>
  <si>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31.12.2024</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</si>
  <si>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</si>
  <si>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</si>
  <si>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</si>
  <si>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</si>
  <si>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31.12.2026</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</si>
  <si>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</si>
  <si>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</si>
  <si>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</si>
  <si>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</si>
  <si>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</si>
  <si>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</si>
  <si>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</si>
  <si>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</si>
  <si>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</si>
  <si>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</si>
  <si>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</si>
  <si>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</si>
  <si>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</si>
  <si>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</si>
  <si>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</si>
  <si>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</si>
  <si>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</si>
  <si>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</si>
  <si>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</si>
  <si>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</si>
  <si>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</si>
  <si>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</si>
  <si>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</si>
  <si>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</si>
  <si>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</si>
  <si>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</si>
  <si>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</si>
  <si>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</si>
  <si>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</si>
  <si>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Территория 23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</si>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</sst>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0">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4" fillId="0" borderId="0" applyFill="0" applyBorder="0">
      <alignment vertical="top"/>
    </xf>
    <xf numFmtId="0" fontId="11" fillId="0" borderId="0" applyFill="0" applyBorder="0"/>
    <xf numFmtId="0" fontId="12" fillId="0" borderId="0" applyFill="0" applyBorder="0">
      <alignment vertical="top"/>
    </xf>
  </cellStyleXfs>
  <cellXfs count="4308">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7"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98"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99"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9"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6"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0"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1"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2" fillId="0" borderId="3" xfId="0" applyNumberFormat="1" applyFont="1" applyBorder="1" applyAlignment="1">
      <alignment horizontal="center" vertical="center" wrapText="1"/>
    </xf>
    <xf numFmtId="49" fontId="102"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8" fillId="27"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49" fontId="0" fillId="8" borderId="3"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55" xfId="0" applyNumberFormat="1" applyFont="1" applyBorder="1" applyAlignment="1">
      <alignment horizontal="center" vertical="center" wrapText="1"/>
    </xf>
    <xf numFmtId="49" fontId="17" fillId="0" borderId="56"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13" borderId="0" xfId="0" applyNumberFormat="1" applyFont="1" applyFill="1" applyAlignment="1">
      <alignment horizontal="center" vertical="center" wrapText="1"/>
    </xf>
    <xf numFmtId="0" fontId="0" fillId="13" borderId="3" xfId="0" applyNumberFormat="1" applyFont="1" applyFill="1" applyBorder="1" applyAlignment="1" applyProtection="1">
      <alignment horizontal="left" vertical="center" wrapText="1"/>
      <protection locked="0"/>
    </xf>
    <xf numFmtId="49" fontId="0" fillId="13"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1" fillId="0" borderId="27" xfId="0" applyNumberFormat="1" applyFont="1" applyBorder="1" applyAlignment="1">
      <alignment horizontal="left" vertical="center"/>
    </xf>
    <xf numFmtId="49" fontId="0" fillId="13" borderId="27"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3"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99"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1"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lan@srte.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3" Type="http://schemas.openxmlformats.org/officeDocument/2006/relationships/hyperlink" Target="https://zakupki.gov.ru/epz/orderplan/purchase-plan/card/document-info.html?id=939681&amp;infoId=8086639" TargetMode="External"/><Relationship Id="rId2" Type="http://schemas.openxmlformats.org/officeDocument/2006/relationships/hyperlink" Target="http://www.consultant.ru/document/cons_doc_LAW_116964/" TargetMode="External"/><Relationship Id="rId1" Type="http://schemas.openxmlformats.org/officeDocument/2006/relationships/hyperlink" Target="http://www.consultant.ru/document/cons_doc_LAW_116964/" TargetMode="External"/><Relationship Id="rId5" Type="http://schemas.openxmlformats.org/officeDocument/2006/relationships/drawing" Target="../drawings/drawing8.xml"/><Relationship Id="rId4" Type="http://schemas.openxmlformats.org/officeDocument/2006/relationships/hyperlink" Target="https://zakupki.gov.ru/epz/order/extendedsearch/results.html?searchString=+%096730048214" TargetMode="Externa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5" zoomScale="90" workbookViewId="0">
      <selection activeCell="I20" sqref="I20"/>
    </sheetView>
  </sheetViews>
  <sheetFormatPr defaultColWidth="9.140625" defaultRowHeight="11.25" customHeight="1"/>
  <cols>
    <col min="1" max="1" width="10.7109375" style="715" hidden="1" customWidth="1"/>
    <col min="2" max="2" width="10.7109375" style="666" hidden="1" customWidth="1"/>
    <col min="3" max="3" width="3" style="464" customWidth="1"/>
    <col min="4" max="4" width="1" style="1559" customWidth="1"/>
    <col min="5" max="6" width="55" style="1559" customWidth="1"/>
    <col min="7" max="7" width="1" style="1970" customWidth="1"/>
    <col min="8" max="8" width="18" style="1559" hidden="1" customWidth="1"/>
    <col min="9" max="9" width="59" style="465" customWidth="1"/>
    <col min="10" max="10" width="52.140625" style="1290" hidden="1" customWidth="1"/>
    <col min="11" max="11" width="8" style="1559" customWidth="1"/>
    <col min="12" max="12" width="77" style="1559" customWidth="1"/>
    <col min="13" max="16" width="8" style="1559" customWidth="1"/>
    <col min="17" max="17" width="12" style="1559" hidden="1" customWidth="1"/>
  </cols>
  <sheetData>
    <row r="1" spans="1:17" s="556" customFormat="1" ht="3" customHeight="1">
      <c r="A1" s="711"/>
      <c r="B1" s="176"/>
      <c r="F1" s="177" t="s">
        <v>0</v>
      </c>
      <c r="G1" s="345"/>
      <c r="H1" s="10"/>
      <c r="I1" s="345"/>
      <c r="J1" s="799"/>
      <c r="Q1" s="177" t="s">
        <v>1</v>
      </c>
    </row>
    <row r="2" spans="1:17" s="1556" customFormat="1" ht="14.25" customHeight="1">
      <c r="A2" s="711"/>
      <c r="B2" s="37"/>
      <c r="E2" s="1636" t="e">
        <f>code</f>
        <v>#REF!</v>
      </c>
      <c r="F2" s="204"/>
      <c r="G2" s="180"/>
      <c r="H2" s="180"/>
      <c r="I2" s="180"/>
      <c r="J2" s="800"/>
      <c r="K2" s="180"/>
      <c r="Q2" s="10">
        <v>14</v>
      </c>
    </row>
    <row r="3" spans="1:17" ht="14.65" customHeight="1">
      <c r="E3" s="181" t="e">
        <f>version</f>
        <v>#REF!</v>
      </c>
      <c r="F3" s="204"/>
      <c r="G3" s="699"/>
      <c r="H3" s="699"/>
      <c r="I3" s="699"/>
      <c r="J3" s="801"/>
      <c r="K3" s="27"/>
      <c r="Q3" s="13">
        <v>14</v>
      </c>
    </row>
    <row r="4" spans="1:17" s="1536" customFormat="1" ht="6.4" customHeight="1">
      <c r="A4" s="712"/>
      <c r="B4" s="167"/>
      <c r="C4" s="168"/>
      <c r="D4" s="169"/>
      <c r="E4" s="178"/>
      <c r="F4" s="179"/>
      <c r="G4" s="700"/>
      <c r="H4" s="343"/>
      <c r="I4" s="345"/>
      <c r="J4" s="802"/>
      <c r="Q4" s="171">
        <v>6</v>
      </c>
    </row>
    <row r="5" spans="1:17" ht="39.75" customHeight="1">
      <c r="D5" s="14"/>
      <c r="E5" s="3869"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3870"/>
      <c r="G5" s="701"/>
      <c r="J5" s="803"/>
      <c r="Q5" s="13">
        <v>38</v>
      </c>
    </row>
    <row r="6" spans="1:17" s="1536" customFormat="1" ht="6.4" customHeight="1">
      <c r="A6" s="712"/>
      <c r="B6" s="167"/>
      <c r="C6" s="168"/>
      <c r="D6" s="169"/>
      <c r="E6" s="172"/>
      <c r="F6" s="173"/>
      <c r="G6" s="701"/>
      <c r="H6" s="343"/>
      <c r="I6" s="345"/>
      <c r="J6" s="802"/>
      <c r="Q6" s="171">
        <v>6</v>
      </c>
    </row>
    <row r="7" spans="1:17" ht="21" customHeight="1">
      <c r="D7" s="14"/>
      <c r="E7" s="325" t="s">
        <v>2</v>
      </c>
      <c r="F7" s="150" t="s">
        <v>3</v>
      </c>
      <c r="G7" s="701"/>
      <c r="Q7" s="13">
        <v>20</v>
      </c>
    </row>
    <row r="8" spans="1:17" s="1536" customFormat="1" ht="6.4" customHeight="1">
      <c r="A8" s="713"/>
      <c r="B8" s="167"/>
      <c r="C8" s="168"/>
      <c r="D8" s="174"/>
      <c r="E8" s="172"/>
      <c r="F8" s="175"/>
      <c r="G8" s="16"/>
      <c r="H8" s="343"/>
      <c r="I8" s="345"/>
      <c r="J8" s="805"/>
      <c r="Q8" s="171">
        <v>6</v>
      </c>
    </row>
    <row r="9" spans="1:17" s="1559" customFormat="1" ht="19.5" hidden="1" customHeight="1">
      <c r="A9" s="712"/>
      <c r="B9" s="37"/>
      <c r="C9" s="342"/>
      <c r="D9" s="344"/>
      <c r="E9" s="1089" t="s">
        <v>4</v>
      </c>
      <c r="F9" s="1816"/>
      <c r="G9" s="701"/>
      <c r="I9" s="1795" t="str">
        <f>IF(TITLE_STRUCTURE_INFO_ROIV="","","раскрывается "&amp;INDEX(ROIV_INFO_COMMENT,MATCH(TITLE_STRUCTURE_INFO_ROIV,ROIV_INFO_LIST,0)))</f>
        <v/>
      </c>
      <c r="J9" s="804"/>
      <c r="Q9" s="343">
        <v>0</v>
      </c>
    </row>
    <row r="10" spans="1:17" s="1536" customFormat="1" ht="24" hidden="1" customHeight="1">
      <c r="A10" s="713"/>
      <c r="B10" s="360"/>
      <c r="C10" s="361"/>
      <c r="D10" s="174"/>
      <c r="E10" s="1089" t="s">
        <v>5</v>
      </c>
      <c r="F10" s="1958" t="s">
        <v>6</v>
      </c>
      <c r="G10" s="16"/>
      <c r="H10" s="343"/>
      <c r="I10" s="345"/>
      <c r="J10" s="805"/>
      <c r="Q10" s="364">
        <v>24</v>
      </c>
    </row>
    <row r="11" spans="1:17" ht="22.5" customHeight="1">
      <c r="A11" s="3872" t="s">
        <v>7</v>
      </c>
      <c r="D11" s="14"/>
      <c r="E11" s="1089" t="s">
        <v>8</v>
      </c>
      <c r="F11" s="1628">
        <v>46023</v>
      </c>
      <c r="G11" s="16"/>
      <c r="H11" s="702" t="s">
        <v>9</v>
      </c>
      <c r="J11" s="804" t="s">
        <v>10</v>
      </c>
      <c r="Q11" s="13">
        <v>0</v>
      </c>
    </row>
    <row r="12" spans="1:17" ht="22.5" customHeight="1">
      <c r="A12" s="3872"/>
      <c r="D12" s="14"/>
      <c r="E12" s="1089" t="s">
        <v>11</v>
      </c>
      <c r="F12" s="1628">
        <v>46387</v>
      </c>
      <c r="G12" s="12"/>
      <c r="J12" s="804" t="s">
        <v>12</v>
      </c>
      <c r="Q12" s="13">
        <v>0</v>
      </c>
    </row>
    <row r="13" spans="1:17" s="1559" customFormat="1" ht="22.5" hidden="1" customHeight="1">
      <c r="A13" s="716" t="s">
        <v>13</v>
      </c>
      <c r="B13" s="37"/>
      <c r="C13" s="342"/>
      <c r="D13" s="344"/>
      <c r="E13" s="1671" t="s">
        <v>14</v>
      </c>
      <c r="F13" s="1628" t="s">
        <v>15</v>
      </c>
      <c r="G13" s="16"/>
      <c r="H13" s="699"/>
      <c r="I13" s="345"/>
      <c r="J13" s="1672" t="s">
        <v>16</v>
      </c>
      <c r="Q13" s="343">
        <v>0</v>
      </c>
    </row>
    <row r="14" spans="1:17" s="1559" customFormat="1" ht="27" hidden="1" customHeight="1">
      <c r="A14" s="716" t="s">
        <v>17</v>
      </c>
      <c r="B14" s="37"/>
      <c r="C14" s="342"/>
      <c r="D14" s="344"/>
      <c r="E14" s="1089" t="s">
        <v>18</v>
      </c>
      <c r="F14" s="1663"/>
      <c r="G14" s="16"/>
      <c r="H14" s="699"/>
      <c r="I14" s="345"/>
      <c r="J14" s="804" t="s">
        <v>19</v>
      </c>
      <c r="Q14" s="343">
        <v>0</v>
      </c>
    </row>
    <row r="15" spans="1:17" s="1559" customFormat="1" ht="19.5" hidden="1" customHeight="1">
      <c r="A15" s="716" t="s">
        <v>20</v>
      </c>
      <c r="B15" s="37"/>
      <c r="C15" s="342"/>
      <c r="D15" s="344"/>
      <c r="E15" s="1089" t="s">
        <v>21</v>
      </c>
      <c r="F15" s="1663"/>
      <c r="G15" s="16"/>
      <c r="H15" s="699"/>
      <c r="I15" s="345"/>
      <c r="J15" s="804" t="s">
        <v>22</v>
      </c>
      <c r="Q15" s="343">
        <v>0</v>
      </c>
    </row>
    <row r="16" spans="1:17" s="1536" customFormat="1" ht="6.4" customHeight="1">
      <c r="A16" s="713"/>
      <c r="B16" s="167"/>
      <c r="C16" s="168"/>
      <c r="D16" s="174"/>
      <c r="E16" s="172"/>
      <c r="F16" s="175"/>
      <c r="G16" s="16"/>
      <c r="H16" s="343"/>
      <c r="I16" s="345"/>
      <c r="J16" s="802"/>
      <c r="Q16" s="171">
        <v>6</v>
      </c>
    </row>
    <row r="17" spans="1:17" ht="21" customHeight="1">
      <c r="D17" s="14"/>
      <c r="E17" s="325" t="s">
        <v>23</v>
      </c>
      <c r="F17" s="151" t="s">
        <v>24</v>
      </c>
      <c r="G17" s="12"/>
      <c r="H17" s="702" t="s">
        <v>9</v>
      </c>
      <c r="Q17" s="13">
        <v>20</v>
      </c>
    </row>
    <row r="18" spans="1:17" ht="25.5" hidden="1" customHeight="1">
      <c r="D18" s="14"/>
      <c r="E18" s="1671" t="s">
        <v>25</v>
      </c>
      <c r="F18" s="1629"/>
      <c r="G18" s="12"/>
      <c r="I18" s="703"/>
      <c r="J18" s="3871" t="s">
        <v>26</v>
      </c>
      <c r="Q18" s="13">
        <v>0</v>
      </c>
    </row>
    <row r="19" spans="1:17" ht="25.5" hidden="1" customHeight="1">
      <c r="D19" s="14"/>
      <c r="E19" s="10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29"/>
      <c r="G19" s="12"/>
      <c r="I19" s="703"/>
      <c r="J19" s="3871"/>
      <c r="Q19" s="13">
        <v>0</v>
      </c>
    </row>
    <row r="20" spans="1:17" ht="22.5" customHeight="1">
      <c r="D20" s="14"/>
      <c r="E20" s="15"/>
      <c r="F20" s="205" t="str">
        <f>"Первичное "&amp;IF(TEMPLATE_GROUP="P","установление тарифов","предложение по тарифам")</f>
        <v>Первичное предложение по тарифам</v>
      </c>
      <c r="G20" s="12"/>
      <c r="I20" s="328"/>
      <c r="J20" s="803" t="s">
        <v>27</v>
      </c>
      <c r="Q20" s="13">
        <v>0</v>
      </c>
    </row>
    <row r="21" spans="1:17" ht="19.5" customHeight="1">
      <c r="D21" s="14"/>
      <c r="E21" s="325" t="str">
        <f>"Дата "&amp;IF(TEMPLATE_GROUP="P","документа","подачи заявления")&amp;" об утверждении тарифов"</f>
        <v>Дата подачи заявления об утверждении тарифов</v>
      </c>
      <c r="F21" s="1628">
        <v>45765</v>
      </c>
      <c r="G21" s="12"/>
      <c r="I21" s="704"/>
      <c r="Q21" s="13">
        <v>0</v>
      </c>
    </row>
    <row r="22" spans="1:17" ht="19.5" customHeight="1">
      <c r="D22" s="14"/>
      <c r="E22" s="325" t="str">
        <f>"Номер "&amp;IF(TEMPLATE_GROUP="P","документа","подачи заявления")&amp;" об утверждении тарифов"</f>
        <v>Номер подачи заявления об утверждении тарифов</v>
      </c>
      <c r="F22" s="151" t="s">
        <v>28</v>
      </c>
      <c r="G22" s="12"/>
      <c r="I22" s="704"/>
      <c r="Q22" s="13">
        <v>0</v>
      </c>
    </row>
    <row r="23" spans="1:17" ht="22.5" hidden="1" customHeight="1">
      <c r="D23" s="14"/>
      <c r="E23" s="325" t="s">
        <v>29</v>
      </c>
      <c r="F23" s="151"/>
      <c r="G23" s="12"/>
      <c r="Q23" s="13">
        <v>0</v>
      </c>
    </row>
    <row r="24" spans="1:17" ht="19.5" hidden="1" customHeight="1">
      <c r="D24" s="14"/>
      <c r="E24" s="325" t="s">
        <v>30</v>
      </c>
      <c r="F24" s="151"/>
      <c r="G24" s="12"/>
      <c r="Q24" s="13">
        <v>0</v>
      </c>
    </row>
    <row r="25" spans="1:17" ht="22.5" hidden="1" customHeight="1">
      <c r="D25" s="14"/>
      <c r="E25" s="15"/>
      <c r="F25" s="205" t="str">
        <f>"Изменение "&amp;IF(TEMPLATE_GROUP="P","тарифов","предложения по тарифам")</f>
        <v>Изменение предложения по тарифам</v>
      </c>
      <c r="G25" s="12"/>
      <c r="J25" s="803" t="s">
        <v>31</v>
      </c>
      <c r="Q25" s="13">
        <v>0</v>
      </c>
    </row>
    <row r="26" spans="1:17" ht="19.5" hidden="1" customHeight="1">
      <c r="D26" s="14"/>
      <c r="E26" s="325" t="str">
        <f>"Дата "&amp;IF(TEMPLATE_GROUP="P","принятия решения","подачи заявления")&amp;" об изменении тарифов"</f>
        <v>Дата подачи заявления об изменении тарифов</v>
      </c>
      <c r="F26" s="1629"/>
      <c r="G26" s="12"/>
      <c r="Q26" s="13">
        <v>0</v>
      </c>
    </row>
    <row r="27" spans="1:17" ht="19.5" hidden="1" customHeight="1">
      <c r="D27" s="14"/>
      <c r="E27" s="1089" t="str">
        <f>"Номер "&amp;IF(TEMPLATE_GROUP="P","принятия решения","заявления")&amp;" об изменении тарифов"</f>
        <v>Номер заявления об изменении тарифов</v>
      </c>
      <c r="F27" s="153"/>
      <c r="G27" s="12"/>
      <c r="Q27" s="13">
        <v>0</v>
      </c>
    </row>
    <row r="28" spans="1:17" ht="24.75" hidden="1" customHeight="1">
      <c r="D28" s="14"/>
      <c r="E28" s="325" t="s">
        <v>32</v>
      </c>
      <c r="F28" s="153"/>
      <c r="G28" s="12"/>
      <c r="Q28" s="13">
        <v>0</v>
      </c>
    </row>
    <row r="29" spans="1:17" ht="19.5" hidden="1" customHeight="1">
      <c r="D29" s="14"/>
      <c r="E29" s="325" t="s">
        <v>30</v>
      </c>
      <c r="F29" s="153"/>
      <c r="G29" s="12"/>
      <c r="Q29" s="13">
        <v>0</v>
      </c>
    </row>
    <row r="30" spans="1:17" s="1536" customFormat="1" ht="6.4" customHeight="1">
      <c r="A30" s="713"/>
      <c r="B30" s="167"/>
      <c r="C30" s="168"/>
      <c r="D30" s="174"/>
      <c r="E30" s="172"/>
      <c r="F30" s="175"/>
      <c r="G30" s="16"/>
      <c r="H30" s="343"/>
      <c r="I30" s="345"/>
      <c r="J30" s="802"/>
      <c r="Q30" s="171">
        <v>6</v>
      </c>
    </row>
    <row r="31" spans="1:17" ht="21" customHeight="1">
      <c r="C31" s="17"/>
      <c r="D31" s="18"/>
      <c r="E31" s="325" t="str">
        <f>"Наименование "&amp;IF(TEMPLATE_GROUP="ROIV","органа тарифного регулирования","ЮЛ / ИП")</f>
        <v>Наименование ЮЛ / ИП</v>
      </c>
      <c r="F31" s="152" t="s">
        <v>33</v>
      </c>
      <c r="G31" s="705"/>
      <c r="Q31" s="13">
        <v>20</v>
      </c>
    </row>
    <row r="32" spans="1:17" ht="21" hidden="1" customHeight="1">
      <c r="C32" s="17"/>
      <c r="D32" s="18"/>
      <c r="E32" s="326" t="s">
        <v>34</v>
      </c>
      <c r="F32" s="152"/>
      <c r="G32" s="705"/>
      <c r="Q32" s="13">
        <v>20</v>
      </c>
    </row>
    <row r="33" spans="1:17" ht="21" customHeight="1">
      <c r="C33" s="17"/>
      <c r="D33" s="18"/>
      <c r="E33" s="325" t="s">
        <v>35</v>
      </c>
      <c r="F33" s="152" t="s">
        <v>36</v>
      </c>
      <c r="G33" s="705"/>
      <c r="Q33" s="13">
        <v>20</v>
      </c>
    </row>
    <row r="34" spans="1:17" ht="21" customHeight="1">
      <c r="C34" s="17"/>
      <c r="D34" s="18"/>
      <c r="E34" s="325" t="s">
        <v>37</v>
      </c>
      <c r="F34" s="152" t="s">
        <v>38</v>
      </c>
      <c r="G34" s="705"/>
      <c r="H34" s="19"/>
      <c r="Q34" s="13">
        <v>20</v>
      </c>
    </row>
    <row r="35" spans="1:17" s="1536" customFormat="1" ht="11.45" customHeight="1">
      <c r="A35" s="713"/>
      <c r="B35" s="167"/>
      <c r="C35" s="168"/>
      <c r="D35" s="174"/>
      <c r="E35" s="172"/>
      <c r="F35" s="175"/>
      <c r="G35" s="16"/>
      <c r="H35" s="343"/>
      <c r="I35" s="345"/>
      <c r="J35" s="802"/>
      <c r="Q35" s="171">
        <v>11</v>
      </c>
    </row>
    <row r="36" spans="1:17" ht="19.5" customHeight="1">
      <c r="A36" s="807"/>
      <c r="D36" s="18"/>
      <c r="E36" s="325" t="s">
        <v>39</v>
      </c>
      <c r="F36" s="1134" t="s">
        <v>40</v>
      </c>
      <c r="G36" s="16"/>
      <c r="Q36" s="13">
        <v>0</v>
      </c>
    </row>
    <row r="37" spans="1:17" ht="21" customHeight="1">
      <c r="A37" s="807"/>
      <c r="D37" s="18"/>
      <c r="E37" s="325" t="s">
        <v>41</v>
      </c>
      <c r="F37" s="1134" t="s">
        <v>42</v>
      </c>
      <c r="G37" s="16"/>
      <c r="Q37" s="13">
        <v>20</v>
      </c>
    </row>
    <row r="38" spans="1:17" s="1536" customFormat="1" ht="6.4" customHeight="1">
      <c r="A38" s="713"/>
      <c r="B38" s="167"/>
      <c r="C38" s="168"/>
      <c r="D38" s="169"/>
      <c r="E38" s="170"/>
      <c r="F38" s="980"/>
      <c r="G38" s="12"/>
      <c r="H38" s="343"/>
      <c r="I38" s="345"/>
      <c r="J38" s="804"/>
      <c r="Q38" s="171">
        <v>6</v>
      </c>
    </row>
    <row r="39" spans="1:17" ht="36.75" customHeight="1">
      <c r="A39" s="713"/>
      <c r="D39" s="14"/>
      <c r="E39" s="325" t="s">
        <v>43</v>
      </c>
      <c r="F39" s="644" t="s">
        <v>6</v>
      </c>
      <c r="G39" s="12"/>
      <c r="H39" s="702" t="s">
        <v>9</v>
      </c>
      <c r="Q39" s="13">
        <v>35</v>
      </c>
    </row>
    <row r="40" spans="1:17" s="1536" customFormat="1" ht="6" hidden="1" customHeight="1">
      <c r="A40" s="712"/>
      <c r="B40" s="360"/>
      <c r="C40" s="361"/>
      <c r="D40" s="362"/>
      <c r="E40" s="363"/>
      <c r="F40" s="980"/>
      <c r="G40" s="12"/>
      <c r="H40" s="343"/>
      <c r="I40" s="345"/>
      <c r="J40" s="804"/>
      <c r="Q40" s="364">
        <v>6</v>
      </c>
    </row>
    <row r="41" spans="1:17" s="1559" customFormat="1" ht="26.25" hidden="1" customHeight="1">
      <c r="A41" s="716" t="s">
        <v>13</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6</v>
      </c>
      <c r="G41" s="12"/>
      <c r="I41" s="345"/>
      <c r="J41" s="804"/>
      <c r="Q41" s="343">
        <v>0</v>
      </c>
    </row>
    <row r="42" spans="1:17" s="1536" customFormat="1" ht="6" customHeight="1">
      <c r="A42" s="712"/>
      <c r="B42" s="360"/>
      <c r="C42" s="361"/>
      <c r="D42" s="362"/>
      <c r="E42" s="363"/>
      <c r="F42" s="980"/>
      <c r="G42" s="12"/>
      <c r="H42" s="343"/>
      <c r="I42" s="345"/>
      <c r="J42" s="802"/>
      <c r="Q42" s="364">
        <v>0</v>
      </c>
    </row>
    <row r="43" spans="1:17" s="1559" customFormat="1" ht="27" hidden="1" customHeight="1">
      <c r="A43" s="712"/>
      <c r="B43" s="347"/>
      <c r="C43" s="342"/>
      <c r="D43" s="344"/>
      <c r="E43" s="325" t="s">
        <v>44</v>
      </c>
      <c r="F43" s="644" t="s">
        <v>6</v>
      </c>
      <c r="G43" s="12"/>
      <c r="I43" s="345"/>
      <c r="J43" s="804"/>
      <c r="Q43" s="343">
        <v>0</v>
      </c>
    </row>
    <row r="44" spans="1:17" s="1559" customFormat="1" ht="27" hidden="1" customHeight="1">
      <c r="A44" s="712"/>
      <c r="B44" s="347"/>
      <c r="C44" s="342"/>
      <c r="D44" s="344"/>
      <c r="E44" s="1089" t="s">
        <v>45</v>
      </c>
      <c r="F44" s="1783"/>
      <c r="G44" s="12"/>
      <c r="I44" s="345"/>
      <c r="J44" s="804"/>
      <c r="Q44" s="343">
        <v>0</v>
      </c>
    </row>
    <row r="45" spans="1:17" s="1536" customFormat="1" ht="6" customHeight="1">
      <c r="A45" s="712"/>
      <c r="B45" s="360"/>
      <c r="C45" s="361"/>
      <c r="D45" s="362"/>
      <c r="E45" s="363"/>
      <c r="F45" s="980"/>
      <c r="G45" s="12"/>
      <c r="H45" s="343"/>
      <c r="I45" s="345"/>
      <c r="J45" s="804"/>
      <c r="Q45" s="364">
        <v>0</v>
      </c>
    </row>
    <row r="46" spans="1:17" s="1536" customFormat="1" ht="24.75" customHeight="1">
      <c r="A46" s="712"/>
      <c r="B46" s="360"/>
      <c r="C46" s="361"/>
      <c r="D46" s="362"/>
      <c r="E46" s="1089" t="s">
        <v>46</v>
      </c>
      <c r="F46" s="644" t="s">
        <v>6</v>
      </c>
      <c r="G46" s="12"/>
      <c r="H46" s="343"/>
      <c r="I46" s="345"/>
      <c r="J46" s="804"/>
      <c r="Q46" s="364">
        <v>0</v>
      </c>
    </row>
    <row r="47" spans="1:17" s="1559" customFormat="1" ht="24.75" customHeight="1">
      <c r="A47" s="712"/>
      <c r="B47" s="347"/>
      <c r="C47" s="342"/>
      <c r="D47" s="344"/>
      <c r="E47" s="1089" t="s">
        <v>47</v>
      </c>
      <c r="F47" s="644" t="s">
        <v>6</v>
      </c>
      <c r="G47" s="12"/>
      <c r="I47" s="345"/>
      <c r="J47" s="804"/>
      <c r="Q47" s="343">
        <v>0</v>
      </c>
    </row>
    <row r="48" spans="1:17" s="1536" customFormat="1" ht="6" hidden="1" customHeight="1">
      <c r="A48" s="712"/>
      <c r="B48" s="167"/>
      <c r="C48" s="168"/>
      <c r="D48" s="169"/>
      <c r="E48" s="170"/>
      <c r="F48" s="980"/>
      <c r="G48" s="12"/>
      <c r="H48" s="343"/>
      <c r="I48" s="345"/>
      <c r="J48" s="804"/>
      <c r="Q48" s="171">
        <v>0</v>
      </c>
    </row>
    <row r="49" spans="1:17" ht="29.25" hidden="1" customHeight="1">
      <c r="B49" s="84"/>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c r="G49" s="12"/>
      <c r="Q49" s="13">
        <v>0</v>
      </c>
    </row>
    <row r="50" spans="1:17" s="1536" customFormat="1" ht="6" hidden="1" customHeight="1">
      <c r="A50" s="713"/>
      <c r="B50" s="360"/>
      <c r="C50" s="361"/>
      <c r="D50" s="174"/>
      <c r="E50" s="172"/>
      <c r="F50" s="175"/>
      <c r="G50" s="16"/>
      <c r="H50" s="343"/>
      <c r="I50" s="345"/>
      <c r="J50" s="804"/>
      <c r="Q50" s="364">
        <v>0</v>
      </c>
    </row>
    <row r="51" spans="1:17" s="1559" customFormat="1" ht="28.5" hidden="1" customHeight="1">
      <c r="A51" s="714"/>
      <c r="B51" s="347"/>
      <c r="C51" s="464"/>
      <c r="D51" s="465"/>
      <c r="E51" s="325" t="s">
        <v>48</v>
      </c>
      <c r="F51" s="644" t="s">
        <v>6</v>
      </c>
      <c r="G51" s="466"/>
      <c r="I51" s="468"/>
      <c r="J51" s="806"/>
      <c r="P51" s="469"/>
      <c r="Q51" s="467">
        <v>0</v>
      </c>
    </row>
    <row r="52" spans="1:17" s="1536" customFormat="1" ht="6" hidden="1" customHeight="1">
      <c r="A52" s="713"/>
      <c r="B52" s="360"/>
      <c r="C52" s="361"/>
      <c r="D52" s="174"/>
      <c r="E52" s="172"/>
      <c r="F52" s="175"/>
      <c r="G52" s="16"/>
      <c r="H52" s="343"/>
      <c r="I52" s="345"/>
      <c r="J52" s="802"/>
      <c r="Q52" s="364">
        <v>0</v>
      </c>
    </row>
    <row r="53" spans="1:17" s="1559" customFormat="1" ht="27" hidden="1" customHeight="1">
      <c r="A53" s="714"/>
      <c r="B53" s="347"/>
      <c r="C53" s="464"/>
      <c r="D53" s="465"/>
      <c r="E53" s="325" t="s">
        <v>49</v>
      </c>
      <c r="F53" s="975" t="s">
        <v>6</v>
      </c>
      <c r="G53" s="466"/>
      <c r="I53" s="468"/>
      <c r="J53" s="806"/>
      <c r="P53" s="469"/>
      <c r="Q53" s="467">
        <v>0</v>
      </c>
    </row>
    <row r="54" spans="1:17" s="1559" customFormat="1" ht="27" hidden="1" customHeight="1">
      <c r="A54" s="714"/>
      <c r="B54" s="347"/>
      <c r="C54" s="464"/>
      <c r="D54" s="465"/>
      <c r="E54" s="325" t="s">
        <v>50</v>
      </c>
      <c r="F54" s="1670"/>
      <c r="G54" s="466"/>
      <c r="I54" s="468"/>
      <c r="J54" s="806"/>
      <c r="P54" s="469"/>
      <c r="Q54" s="467">
        <v>0</v>
      </c>
    </row>
    <row r="55" spans="1:17" s="1536" customFormat="1" ht="6" hidden="1" customHeight="1">
      <c r="A55" s="713"/>
      <c r="B55" s="360"/>
      <c r="C55" s="361"/>
      <c r="D55" s="174"/>
      <c r="E55" s="172"/>
      <c r="F55" s="175"/>
      <c r="G55" s="16"/>
      <c r="H55" s="343"/>
      <c r="I55" s="345"/>
      <c r="J55" s="802"/>
      <c r="Q55" s="364">
        <v>0</v>
      </c>
    </row>
    <row r="56" spans="1:17" s="1559" customFormat="1" ht="25.5" hidden="1" customHeight="1">
      <c r="A56" s="714"/>
      <c r="B56" s="347"/>
      <c r="C56" s="464"/>
      <c r="D56" s="465"/>
      <c r="E56" s="325" t="s">
        <v>51</v>
      </c>
      <c r="F56" s="975" t="s">
        <v>6</v>
      </c>
      <c r="G56" s="466"/>
      <c r="I56" s="468"/>
      <c r="J56" s="806"/>
      <c r="P56" s="469"/>
      <c r="Q56" s="467">
        <v>0</v>
      </c>
    </row>
    <row r="57" spans="1:17" s="1536" customFormat="1" ht="6" hidden="1" customHeight="1">
      <c r="A57" s="713"/>
      <c r="B57" s="360"/>
      <c r="C57" s="361"/>
      <c r="D57" s="174"/>
      <c r="E57" s="172"/>
      <c r="F57" s="175"/>
      <c r="G57" s="16"/>
      <c r="H57" s="343"/>
      <c r="I57" s="345"/>
      <c r="J57" s="802"/>
      <c r="Q57" s="364">
        <v>0</v>
      </c>
    </row>
    <row r="58" spans="1:17" s="1559" customFormat="1" ht="15" hidden="1" customHeight="1">
      <c r="A58" s="714"/>
      <c r="B58" s="347"/>
      <c r="C58" s="464"/>
      <c r="D58" s="465"/>
      <c r="E58" s="325" t="s">
        <v>52</v>
      </c>
      <c r="F58" s="975" t="s">
        <v>53</v>
      </c>
      <c r="G58" s="466"/>
      <c r="I58" s="468"/>
      <c r="J58" s="806"/>
      <c r="P58" s="469"/>
      <c r="Q58" s="467">
        <v>0</v>
      </c>
    </row>
    <row r="59" spans="1:17" s="1559"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3"/>
      <c r="G59" s="466"/>
      <c r="I59" s="468"/>
      <c r="J59" s="806"/>
      <c r="P59" s="469"/>
      <c r="Q59" s="467">
        <v>0</v>
      </c>
    </row>
    <row r="60" spans="1:17" s="1559" customFormat="1" ht="15" hidden="1" customHeight="1">
      <c r="A60" s="714"/>
      <c r="B60" s="347"/>
      <c r="C60" s="464"/>
      <c r="D60" s="465"/>
      <c r="E60" s="1089" t="s">
        <v>54</v>
      </c>
      <c r="F60" s="1075"/>
      <c r="G60" s="466"/>
      <c r="I60" s="468"/>
      <c r="J60" s="806"/>
      <c r="P60" s="469"/>
      <c r="Q60" s="467">
        <v>0</v>
      </c>
    </row>
    <row r="61" spans="1:17" s="1536" customFormat="1" ht="6" hidden="1" customHeight="1">
      <c r="A61" s="713"/>
      <c r="B61" s="360"/>
      <c r="C61" s="361"/>
      <c r="D61" s="362"/>
      <c r="E61" s="363"/>
      <c r="F61" s="980"/>
      <c r="G61" s="12"/>
      <c r="H61" s="343"/>
      <c r="I61" s="345"/>
      <c r="J61" s="804"/>
      <c r="Q61" s="364">
        <v>0</v>
      </c>
    </row>
    <row r="62" spans="1:17" s="1559" customFormat="1" ht="33.75" hidden="1" customHeight="1">
      <c r="A62" s="713"/>
      <c r="B62" s="37"/>
      <c r="C62" s="342"/>
      <c r="D62" s="344"/>
      <c r="E62" s="1089" t="s">
        <v>55</v>
      </c>
      <c r="F62" s="1595" t="s">
        <v>53</v>
      </c>
      <c r="G62" s="12"/>
      <c r="H62" s="702" t="s">
        <v>9</v>
      </c>
      <c r="I62" s="345"/>
      <c r="J62" s="804"/>
      <c r="Q62" s="343">
        <v>0</v>
      </c>
    </row>
    <row r="63" spans="1:17" s="1536" customFormat="1" ht="6.4" customHeight="1">
      <c r="A63" s="713"/>
      <c r="B63" s="167"/>
      <c r="C63" s="168"/>
      <c r="D63" s="174"/>
      <c r="E63" s="172"/>
      <c r="F63" s="175"/>
      <c r="G63" s="16"/>
      <c r="H63" s="343"/>
      <c r="I63" s="345"/>
      <c r="J63" s="802"/>
      <c r="Q63" s="171">
        <v>6</v>
      </c>
    </row>
    <row r="64" spans="1:17" ht="21" customHeight="1">
      <c r="B64" s="38"/>
      <c r="D64" s="21"/>
      <c r="E64" s="325" t="s">
        <v>56</v>
      </c>
      <c r="F64" s="151" t="s">
        <v>57</v>
      </c>
      <c r="G64" s="16"/>
      <c r="Q64" s="13">
        <v>20</v>
      </c>
    </row>
    <row r="65" spans="1:17" ht="21" customHeight="1">
      <c r="B65" s="38"/>
      <c r="D65" s="21"/>
      <c r="E65" s="325" t="s">
        <v>58</v>
      </c>
      <c r="F65" s="151" t="s">
        <v>59</v>
      </c>
      <c r="G65" s="16"/>
      <c r="Q65" s="13">
        <v>20</v>
      </c>
    </row>
    <row r="66" spans="1:17" ht="36.75" customHeight="1">
      <c r="D66" s="14"/>
      <c r="E66" s="327" t="s">
        <v>60</v>
      </c>
      <c r="F66" s="981"/>
      <c r="G66" s="12"/>
      <c r="Q66" s="13">
        <v>35</v>
      </c>
    </row>
    <row r="67" spans="1:17" ht="21" customHeight="1">
      <c r="D67" s="344"/>
      <c r="E67" s="325" t="s">
        <v>61</v>
      </c>
      <c r="F67" s="206" t="s">
        <v>62</v>
      </c>
      <c r="G67" s="16"/>
      <c r="Q67" s="13">
        <v>20</v>
      </c>
    </row>
    <row r="68" spans="1:17" ht="21" customHeight="1">
      <c r="B68" s="38"/>
      <c r="D68" s="21"/>
      <c r="E68" s="325" t="s">
        <v>63</v>
      </c>
      <c r="F68" s="206" t="s">
        <v>64</v>
      </c>
      <c r="G68" s="16"/>
      <c r="Q68" s="13">
        <v>20</v>
      </c>
    </row>
    <row r="69" spans="1:17" ht="21" customHeight="1">
      <c r="B69" s="38"/>
      <c r="D69" s="21"/>
      <c r="E69" s="325" t="s">
        <v>65</v>
      </c>
      <c r="F69" s="206" t="s">
        <v>66</v>
      </c>
      <c r="G69" s="16"/>
      <c r="Q69" s="13">
        <v>20</v>
      </c>
    </row>
    <row r="70" spans="1:17" ht="21" customHeight="1">
      <c r="D70" s="344"/>
      <c r="E70" s="325" t="s">
        <v>67</v>
      </c>
      <c r="F70" s="1992" t="s">
        <v>68</v>
      </c>
      <c r="G70" s="12"/>
      <c r="Q70" s="13">
        <v>20</v>
      </c>
    </row>
    <row r="71" spans="1:17" ht="21" customHeight="1">
      <c r="D71" s="12"/>
      <c r="F71" s="70"/>
      <c r="G71" s="16"/>
      <c r="Q71" s="13">
        <v>20</v>
      </c>
    </row>
    <row r="72" spans="1:17" ht="21" customHeight="1">
      <c r="B72" s="38"/>
      <c r="D72" s="21"/>
      <c r="E72" s="20"/>
      <c r="F72" s="960" t="s">
        <v>0</v>
      </c>
      <c r="G72" s="16"/>
      <c r="Q72" s="13">
        <v>20</v>
      </c>
    </row>
    <row r="73" spans="1:17" ht="21" customHeight="1">
      <c r="B73" s="38"/>
      <c r="D73" s="21"/>
      <c r="E73" s="20"/>
      <c r="F73" s="71"/>
      <c r="G73" s="16"/>
      <c r="Q73" s="13">
        <v>20</v>
      </c>
    </row>
    <row r="74" spans="1:17" ht="21" customHeight="1">
      <c r="B74" s="38"/>
      <c r="D74" s="21"/>
      <c r="E74" s="25"/>
      <c r="F74" s="71"/>
      <c r="G74" s="16"/>
      <c r="Q74" s="13">
        <v>20</v>
      </c>
    </row>
    <row r="75" spans="1:17" ht="21" customHeight="1">
      <c r="B75" s="38"/>
      <c r="D75" s="21"/>
      <c r="E75" s="20"/>
      <c r="F75" s="71"/>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712" t="s">
        <v>69</v>
      </c>
      <c r="B79" s="37">
        <v>0</v>
      </c>
      <c r="C79" s="11">
        <v>3</v>
      </c>
      <c r="D79" s="13">
        <v>1</v>
      </c>
      <c r="E79" s="13">
        <v>55</v>
      </c>
      <c r="F79" s="13">
        <v>54</v>
      </c>
      <c r="G79" s="700">
        <v>1</v>
      </c>
      <c r="H79" s="343">
        <v>0</v>
      </c>
      <c r="I79" s="345">
        <v>59</v>
      </c>
      <c r="J79" s="804">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plan@srte.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5"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2"/>
      <c r="Z1" s="262"/>
      <c r="AG1" s="262"/>
      <c r="AH1" s="262"/>
      <c r="AS1" s="1079" t="s">
        <v>1</v>
      </c>
    </row>
    <row r="2" spans="1:45" ht="21" hidden="1" customHeight="1">
      <c r="A2" s="1287"/>
      <c r="B2" s="1287"/>
      <c r="C2" s="1287"/>
      <c r="D2" s="1287"/>
      <c r="E2" s="4033">
        <v>1</v>
      </c>
      <c r="F2" s="1287"/>
      <c r="G2" s="1287"/>
      <c r="H2" s="1287"/>
      <c r="I2" s="1287"/>
      <c r="J2" s="1287"/>
      <c r="K2" s="1287"/>
      <c r="L2" s="1288"/>
      <c r="M2" s="1289"/>
      <c r="N2" s="1289"/>
      <c r="O2" s="1289"/>
      <c r="P2" s="295"/>
      <c r="Q2" s="294"/>
      <c r="R2" s="289"/>
      <c r="S2" s="1233" t="e">
        <f>INDEX(PT_DIFFERENTIATION_NUM_NTAR,MATCH(A2,PT_DIFFERENTIATION_NTAR_ID,0))</f>
        <v>#N/A</v>
      </c>
      <c r="T2" s="233" t="s">
        <v>195</v>
      </c>
      <c r="U2" s="235"/>
      <c r="V2" s="4027"/>
      <c r="W2" s="4028"/>
      <c r="X2" s="4028"/>
      <c r="Y2" s="4028"/>
      <c r="Z2" s="4028"/>
      <c r="AA2" s="4028"/>
      <c r="AB2" s="4028"/>
      <c r="AC2" s="4029"/>
      <c r="AD2" s="4027" t="e">
        <f>INDEX(PT_DIFFERENTIATION_NTAR,MATCH(A2,PT_DIFFERENTIATION_NTAR_ID,0))</f>
        <v>#N/A</v>
      </c>
      <c r="AE2" s="4028"/>
      <c r="AF2" s="4028"/>
      <c r="AG2" s="4028"/>
      <c r="AH2" s="4028"/>
      <c r="AI2" s="4028"/>
      <c r="AJ2" s="4028"/>
      <c r="AK2" s="4028"/>
      <c r="AL2" s="4029"/>
      <c r="AM2" s="1182" t="s">
        <v>604</v>
      </c>
      <c r="AO2" s="434"/>
      <c r="AP2" s="434" t="str">
        <f t="shared" ref="AP2:AP15" si="0">IF(T2="","",T2)</f>
        <v>Наименование тарифа</v>
      </c>
      <c r="AQ2" s="434"/>
      <c r="AR2" s="434"/>
      <c r="AS2" s="1079">
        <v>0</v>
      </c>
    </row>
    <row r="3" spans="1:45" ht="21" hidden="1" customHeight="1">
      <c r="A3" s="1287"/>
      <c r="B3" s="1287"/>
      <c r="C3" s="1287"/>
      <c r="D3" s="1287"/>
      <c r="E3" s="4034"/>
      <c r="F3" s="4033">
        <v>1</v>
      </c>
      <c r="G3" s="1287"/>
      <c r="H3" s="1287"/>
      <c r="I3" s="1287"/>
      <c r="J3" s="1287"/>
      <c r="K3" s="1287"/>
      <c r="L3" s="1288"/>
      <c r="M3" s="1289"/>
      <c r="N3" s="1289"/>
      <c r="O3" s="1289"/>
      <c r="P3" s="1228"/>
      <c r="Q3" s="286"/>
      <c r="R3" s="287"/>
      <c r="S3" s="1233" t="e">
        <f>INDEX(PT_DIFFERENTIATION_NUM_TER,MATCH(B3,PT_DIFFERENTIATION_TER_ID,0))</f>
        <v>#N/A</v>
      </c>
      <c r="T3" s="243" t="s">
        <v>605</v>
      </c>
      <c r="U3" s="235"/>
      <c r="V3" s="4027"/>
      <c r="W3" s="4028"/>
      <c r="X3" s="4028"/>
      <c r="Y3" s="4028"/>
      <c r="Z3" s="4028"/>
      <c r="AA3" s="4028"/>
      <c r="AB3" s="4028"/>
      <c r="AC3" s="4029"/>
      <c r="AD3" s="4027" t="e">
        <f>INDEX(PT_DIFFERENTIATION_TER,MATCH(B3,PT_DIFFERENTIATION_TER_ID,0))</f>
        <v>#N/A</v>
      </c>
      <c r="AE3" s="4028"/>
      <c r="AF3" s="4028"/>
      <c r="AG3" s="4028"/>
      <c r="AH3" s="4028"/>
      <c r="AI3" s="4028"/>
      <c r="AJ3" s="4028"/>
      <c r="AK3" s="4028"/>
      <c r="AL3" s="4029"/>
      <c r="AM3" s="1182" t="s">
        <v>606</v>
      </c>
      <c r="AO3" s="434"/>
      <c r="AP3" s="434" t="str">
        <f t="shared" si="0"/>
        <v>Территория действия тарифа</v>
      </c>
      <c r="AQ3" s="434"/>
      <c r="AR3" s="434"/>
      <c r="AS3" s="1079">
        <v>0</v>
      </c>
    </row>
    <row r="4" spans="1:45" ht="23.25" hidden="1" customHeight="1">
      <c r="A4" s="1287"/>
      <c r="B4" s="1287"/>
      <c r="C4" s="1287"/>
      <c r="D4" s="1287"/>
      <c r="E4" s="4034"/>
      <c r="F4" s="4034"/>
      <c r="G4" s="4033">
        <v>1</v>
      </c>
      <c r="H4" s="1287"/>
      <c r="I4" s="1287"/>
      <c r="J4" s="1287"/>
      <c r="K4" s="1287"/>
      <c r="L4" s="1288"/>
      <c r="M4" s="1289"/>
      <c r="N4" s="1289"/>
      <c r="O4" s="1289"/>
      <c r="P4" s="288"/>
      <c r="Q4" s="286"/>
      <c r="R4" s="287"/>
      <c r="S4" s="1233" t="e">
        <f>INDEX(PT_DIFFERENTIATION_NUM_CS,MATCH(C4,PT_DIFFERENTIATION_CS_ID,0))</f>
        <v>#N/A</v>
      </c>
      <c r="T4" s="244" t="s">
        <v>607</v>
      </c>
      <c r="U4" s="235"/>
      <c r="V4" s="4027"/>
      <c r="W4" s="4028"/>
      <c r="X4" s="4028"/>
      <c r="Y4" s="4028"/>
      <c r="Z4" s="4028"/>
      <c r="AA4" s="4028"/>
      <c r="AB4" s="4028"/>
      <c r="AC4" s="4029"/>
      <c r="AD4" s="4027" t="e">
        <f>INDEX(PT_DIFFERENTIATION_CS,MATCH(C4,PT_DIFFERENTIATION_CS_ID,0))</f>
        <v>#N/A</v>
      </c>
      <c r="AE4" s="4028"/>
      <c r="AF4" s="4028"/>
      <c r="AG4" s="4028"/>
      <c r="AH4" s="4028"/>
      <c r="AI4" s="4028"/>
      <c r="AJ4" s="4028"/>
      <c r="AK4" s="4028"/>
      <c r="AL4" s="4029"/>
      <c r="AM4" s="1182" t="s">
        <v>608</v>
      </c>
      <c r="AO4" s="434"/>
      <c r="AP4" s="434" t="str">
        <f t="shared" si="0"/>
        <v xml:space="preserve">Наименование системы теплоснабжения </v>
      </c>
      <c r="AQ4" s="434"/>
      <c r="AR4" s="434"/>
      <c r="AS4" s="1079">
        <v>0</v>
      </c>
    </row>
    <row r="5" spans="1:45" ht="21" hidden="1" customHeight="1">
      <c r="A5" s="1287"/>
      <c r="B5" s="1287"/>
      <c r="C5" s="1287"/>
      <c r="D5" s="1287"/>
      <c r="E5" s="4034"/>
      <c r="F5" s="4034"/>
      <c r="G5" s="4034"/>
      <c r="H5" s="4033">
        <v>1</v>
      </c>
      <c r="I5" s="1287"/>
      <c r="J5" s="1287"/>
      <c r="K5" s="1287"/>
      <c r="L5" s="1288"/>
      <c r="M5" s="1289"/>
      <c r="N5" s="1289"/>
      <c r="O5" s="1289"/>
      <c r="P5" s="288"/>
      <c r="Q5" s="286"/>
      <c r="R5" s="287"/>
      <c r="S5" s="1233" t="e">
        <f>INDEX(PT_DIFFERENTIATION_NUM_IST_TE,MATCH(D5,PT_DIFFERENTIATION_IST_TE_ID,0))</f>
        <v>#N/A</v>
      </c>
      <c r="T5" s="245" t="s">
        <v>609</v>
      </c>
      <c r="U5" s="235"/>
      <c r="V5" s="4027"/>
      <c r="W5" s="4028"/>
      <c r="X5" s="4028"/>
      <c r="Y5" s="4028"/>
      <c r="Z5" s="4028"/>
      <c r="AA5" s="4028"/>
      <c r="AB5" s="4028"/>
      <c r="AC5" s="4029"/>
      <c r="AD5" s="4027" t="e">
        <f>INDEX(PT_DIFFERENTIATION_IST_TE,MATCH(D5,PT_DIFFERENTIATION_IST_TE_ID,0))</f>
        <v>#N/A</v>
      </c>
      <c r="AE5" s="4028"/>
      <c r="AF5" s="4028"/>
      <c r="AG5" s="4028"/>
      <c r="AH5" s="4028"/>
      <c r="AI5" s="4028"/>
      <c r="AJ5" s="4028"/>
      <c r="AK5" s="4028"/>
      <c r="AL5" s="4029"/>
      <c r="AM5" s="1182" t="s">
        <v>610</v>
      </c>
      <c r="AO5" s="434"/>
      <c r="AP5" s="434" t="str">
        <f t="shared" si="0"/>
        <v xml:space="preserve">Источник тепловой энергии  </v>
      </c>
      <c r="AQ5" s="434"/>
      <c r="AR5" s="434"/>
      <c r="AS5" s="1079">
        <v>0</v>
      </c>
    </row>
    <row r="6" spans="1:45" ht="47.25" hidden="1" customHeight="1">
      <c r="A6" s="1287"/>
      <c r="B6" s="1287"/>
      <c r="C6" s="1287"/>
      <c r="D6" s="1287"/>
      <c r="E6" s="4034"/>
      <c r="F6" s="4034"/>
      <c r="G6" s="4034"/>
      <c r="H6" s="4034"/>
      <c r="I6" s="4035" t="e">
        <f>S5&amp;".1"</f>
        <v>#N/A</v>
      </c>
      <c r="J6" s="1287"/>
      <c r="K6" s="1287"/>
      <c r="L6" s="1288" t="s">
        <v>611</v>
      </c>
      <c r="M6" s="471"/>
      <c r="P6" s="4037">
        <v>1</v>
      </c>
      <c r="Q6" s="1229"/>
      <c r="R6" s="290"/>
      <c r="S6" s="1233" t="e">
        <f>$I6</f>
        <v>#N/A</v>
      </c>
      <c r="T6" s="220" t="s">
        <v>612</v>
      </c>
      <c r="U6" s="235"/>
      <c r="V6" s="4021"/>
      <c r="W6" s="4022"/>
      <c r="X6" s="4022"/>
      <c r="Y6" s="4022"/>
      <c r="Z6" s="4022"/>
      <c r="AA6" s="4022"/>
      <c r="AB6" s="4022"/>
      <c r="AC6" s="4023"/>
      <c r="AD6" s="4021"/>
      <c r="AE6" s="4022"/>
      <c r="AF6" s="4022"/>
      <c r="AG6" s="4022"/>
      <c r="AH6" s="4022"/>
      <c r="AI6" s="4022"/>
      <c r="AJ6" s="4022"/>
      <c r="AK6" s="4022"/>
      <c r="AL6" s="4023"/>
      <c r="AM6" s="1182" t="s">
        <v>613</v>
      </c>
      <c r="AO6" s="434"/>
      <c r="AP6" s="434" t="str">
        <f t="shared" si="0"/>
        <v>Схема подключения теплопотребляющей установки к коллектору источника тепловой энергии</v>
      </c>
      <c r="AQ6" s="434"/>
      <c r="AR6" s="434"/>
      <c r="AS6" s="1079">
        <v>0</v>
      </c>
    </row>
    <row r="7" spans="1:45" ht="21" hidden="1" customHeight="1">
      <c r="A7" s="1287"/>
      <c r="B7" s="1287"/>
      <c r="C7" s="1287"/>
      <c r="D7" s="1287"/>
      <c r="E7" s="4034"/>
      <c r="F7" s="4034"/>
      <c r="G7" s="4034"/>
      <c r="H7" s="4034"/>
      <c r="I7" s="4036"/>
      <c r="J7" s="4035" t="e">
        <f>I6&amp;".1"</f>
        <v>#N/A</v>
      </c>
      <c r="K7" s="1287"/>
      <c r="L7" s="1288" t="s">
        <v>614</v>
      </c>
      <c r="M7" s="471"/>
      <c r="N7" s="1290"/>
      <c r="P7" s="4037"/>
      <c r="Q7" s="4037">
        <v>1</v>
      </c>
      <c r="R7" s="291"/>
      <c r="S7" s="1233" t="e">
        <f>$J7</f>
        <v>#N/A</v>
      </c>
      <c r="T7" s="221" t="s">
        <v>615</v>
      </c>
      <c r="U7" s="235"/>
      <c r="V7" s="4021"/>
      <c r="W7" s="4022"/>
      <c r="X7" s="4022"/>
      <c r="Y7" s="4022"/>
      <c r="Z7" s="4022"/>
      <c r="AA7" s="4022"/>
      <c r="AB7" s="4022"/>
      <c r="AC7" s="4023"/>
      <c r="AD7" s="4021"/>
      <c r="AE7" s="4022"/>
      <c r="AF7" s="4022"/>
      <c r="AG7" s="4022"/>
      <c r="AH7" s="4022"/>
      <c r="AI7" s="4022"/>
      <c r="AJ7" s="4022"/>
      <c r="AK7" s="4022"/>
      <c r="AL7" s="4023"/>
      <c r="AM7" s="1182" t="s">
        <v>616</v>
      </c>
      <c r="AO7" s="434"/>
      <c r="AP7" s="434" t="str">
        <f t="shared" si="0"/>
        <v>Группа потребителей</v>
      </c>
      <c r="AQ7" s="434"/>
      <c r="AR7" s="434"/>
      <c r="AS7" s="1079">
        <v>0</v>
      </c>
    </row>
    <row r="8" spans="1:45" ht="21" hidden="1" customHeight="1">
      <c r="A8" s="1287"/>
      <c r="B8" s="1287"/>
      <c r="C8" s="1287"/>
      <c r="D8" s="1287"/>
      <c r="E8" s="4034"/>
      <c r="F8" s="4034"/>
      <c r="G8" s="4034"/>
      <c r="H8" s="4034"/>
      <c r="I8" s="4036"/>
      <c r="J8" s="4036"/>
      <c r="K8" s="4035" t="e">
        <f>J7&amp;".1"</f>
        <v>#N/A</v>
      </c>
      <c r="L8" s="1288" t="s">
        <v>617</v>
      </c>
      <c r="M8" s="471"/>
      <c r="N8" s="1290"/>
      <c r="O8" s="1290"/>
      <c r="P8" s="4037"/>
      <c r="Q8" s="4037"/>
      <c r="R8" s="291">
        <v>1</v>
      </c>
      <c r="S8" s="1233" t="e">
        <f>$K8</f>
        <v>#N/A</v>
      </c>
      <c r="T8" s="1271"/>
      <c r="U8" s="235"/>
      <c r="V8" s="685"/>
      <c r="W8" s="260"/>
      <c r="X8" s="685"/>
      <c r="Y8" s="1181"/>
      <c r="Z8" s="4038"/>
      <c r="AA8" s="3899" t="s">
        <v>53</v>
      </c>
      <c r="AB8" s="4038"/>
      <c r="AC8" s="3899" t="s">
        <v>53</v>
      </c>
      <c r="AD8" s="685"/>
      <c r="AE8" s="260"/>
      <c r="AF8" s="685"/>
      <c r="AG8" s="1181"/>
      <c r="AH8" s="4038"/>
      <c r="AI8" s="3899" t="s">
        <v>53</v>
      </c>
      <c r="AJ8" s="4038"/>
      <c r="AK8" s="3899" t="s">
        <v>53</v>
      </c>
      <c r="AL8" s="260"/>
      <c r="AM8" s="4056" t="s">
        <v>618</v>
      </c>
      <c r="AN8" s="445" t="e">
        <f ca="1">STRCHECKDATE(V9:AL9)</f>
        <v>#NAME?</v>
      </c>
      <c r="AO8" s="434"/>
      <c r="AP8" s="434" t="str">
        <f t="shared" si="0"/>
        <v/>
      </c>
      <c r="AQ8" s="434"/>
      <c r="AR8" s="434"/>
      <c r="AS8" s="1079">
        <v>0</v>
      </c>
    </row>
    <row r="9" spans="1:45" ht="0.75" hidden="1" customHeight="1">
      <c r="A9" s="1287"/>
      <c r="B9" s="1287"/>
      <c r="C9" s="1287"/>
      <c r="D9" s="1287"/>
      <c r="E9" s="4034"/>
      <c r="F9" s="4034"/>
      <c r="G9" s="4034"/>
      <c r="H9" s="4034"/>
      <c r="I9" s="4036"/>
      <c r="J9" s="4036"/>
      <c r="K9" s="4035"/>
      <c r="L9" s="1288"/>
      <c r="M9" s="471"/>
      <c r="N9" s="1290"/>
      <c r="O9" s="1290"/>
      <c r="P9" s="4037"/>
      <c r="Q9" s="4037"/>
      <c r="R9" s="291"/>
      <c r="S9" s="1230"/>
      <c r="T9" s="235"/>
      <c r="U9" s="235"/>
      <c r="V9" s="260"/>
      <c r="W9" s="260"/>
      <c r="X9" s="260"/>
      <c r="Y9" s="263" t="str">
        <f>Z8&amp;"-"&amp;AB8</f>
        <v>-</v>
      </c>
      <c r="Z9" s="4039"/>
      <c r="AA9" s="3899"/>
      <c r="AB9" s="4039"/>
      <c r="AC9" s="3899"/>
      <c r="AD9" s="260"/>
      <c r="AE9" s="260"/>
      <c r="AF9" s="260"/>
      <c r="AG9" s="263" t="str">
        <f>AH8&amp;"-"&amp;AJ8</f>
        <v>-</v>
      </c>
      <c r="AH9" s="4039"/>
      <c r="AI9" s="3899"/>
      <c r="AJ9" s="4039"/>
      <c r="AK9" s="3899"/>
      <c r="AL9" s="260"/>
      <c r="AM9" s="4057"/>
      <c r="AO9" s="434"/>
      <c r="AP9" s="434" t="str">
        <f t="shared" si="0"/>
        <v/>
      </c>
      <c r="AQ9" s="434"/>
      <c r="AR9" s="434"/>
      <c r="AS9" s="1079">
        <v>0</v>
      </c>
    </row>
    <row r="10" spans="1:45" ht="15" hidden="1" customHeight="1">
      <c r="A10" s="1287"/>
      <c r="B10" s="1287"/>
      <c r="C10" s="1287"/>
      <c r="D10" s="1287"/>
      <c r="E10" s="4034"/>
      <c r="F10" s="4034"/>
      <c r="G10" s="4034"/>
      <c r="H10" s="4034"/>
      <c r="I10" s="4036"/>
      <c r="J10" s="4035"/>
      <c r="K10" s="1287"/>
      <c r="L10" s="1288"/>
      <c r="M10" s="471"/>
      <c r="N10" s="1290"/>
      <c r="P10" s="4037"/>
      <c r="Q10" s="4037"/>
      <c r="R10" s="290"/>
      <c r="S10" s="1202"/>
      <c r="T10" s="223" t="s">
        <v>619</v>
      </c>
      <c r="U10" s="301"/>
      <c r="V10" s="301"/>
      <c r="W10" s="301"/>
      <c r="X10" s="301"/>
      <c r="Y10" s="301"/>
      <c r="Z10" s="301"/>
      <c r="AA10" s="301"/>
      <c r="AB10" s="301"/>
      <c r="AC10" s="301"/>
      <c r="AD10" s="301"/>
      <c r="AE10" s="301"/>
      <c r="AF10" s="301"/>
      <c r="AG10" s="301"/>
      <c r="AH10" s="301"/>
      <c r="AI10" s="301"/>
      <c r="AJ10" s="301"/>
      <c r="AK10" s="301"/>
      <c r="AL10" s="259"/>
      <c r="AM10" s="4058"/>
      <c r="AO10" s="434"/>
      <c r="AP10" s="434" t="str">
        <f t="shared" si="0"/>
        <v>Добавить вид теплоносителя (параметры теплоносителя)</v>
      </c>
      <c r="AQ10" s="434"/>
      <c r="AR10" s="434"/>
      <c r="AS10" s="1079">
        <v>0</v>
      </c>
    </row>
    <row r="11" spans="1:45" ht="15" hidden="1" customHeight="1">
      <c r="A11" s="1287"/>
      <c r="B11" s="1287"/>
      <c r="C11" s="1287"/>
      <c r="D11" s="1287"/>
      <c r="E11" s="4034"/>
      <c r="F11" s="4034"/>
      <c r="G11" s="4034"/>
      <c r="H11" s="4034"/>
      <c r="I11" s="4035"/>
      <c r="J11" s="1287"/>
      <c r="K11" s="1287"/>
      <c r="L11" s="1288"/>
      <c r="M11" s="471"/>
      <c r="P11" s="4037"/>
      <c r="Q11" s="1229"/>
      <c r="R11" s="290"/>
      <c r="S11" s="1202"/>
      <c r="T11" s="222" t="s">
        <v>620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9">
        <v>0</v>
      </c>
    </row>
    <row r="12" spans="1:45" ht="14.25" hidden="1" customHeight="1">
      <c r="A12" s="1287"/>
      <c r="B12" s="1287"/>
      <c r="C12" s="1287"/>
      <c r="D12" s="1287"/>
      <c r="E12" s="4034"/>
      <c r="F12" s="4034"/>
      <c r="G12" s="4034"/>
      <c r="H12" s="4033"/>
      <c r="I12" s="1287"/>
      <c r="J12" s="1287"/>
      <c r="K12" s="1287"/>
      <c r="L12" s="1288"/>
      <c r="M12" s="1289"/>
      <c r="N12" s="1289"/>
      <c r="O12" s="471"/>
      <c r="P12" s="294"/>
      <c r="Q12" s="309"/>
      <c r="R12" s="289"/>
      <c r="S12" s="1202"/>
      <c r="T12" s="299" t="s">
        <v>621</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9">
        <v>0</v>
      </c>
    </row>
    <row r="13" spans="1:45" s="1566" customFormat="1" ht="0.75" hidden="1" customHeight="1">
      <c r="A13" s="1238"/>
      <c r="B13" s="1238"/>
      <c r="C13" s="1238"/>
      <c r="D13" s="1238"/>
      <c r="E13" s="4034"/>
      <c r="F13" s="4034"/>
      <c r="G13" s="4033"/>
      <c r="H13" s="1238"/>
      <c r="I13" s="1238"/>
      <c r="J13" s="1238"/>
      <c r="K13" s="1238"/>
      <c r="L13" s="1263"/>
      <c r="M13" s="1239"/>
      <c r="N13" s="1239"/>
      <c r="P13" s="1240"/>
      <c r="Q13" s="1241"/>
      <c r="R13" s="1240"/>
      <c r="S13" s="1242"/>
      <c r="T13" s="1243" t="s">
        <v>235</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2">
        <v>0</v>
      </c>
    </row>
    <row r="14" spans="1:45" s="1566" customFormat="1" ht="0.75" hidden="1" customHeight="1">
      <c r="A14" s="1238"/>
      <c r="B14" s="1238"/>
      <c r="C14" s="1238"/>
      <c r="D14" s="1238"/>
      <c r="E14" s="4034"/>
      <c r="F14" s="4033"/>
      <c r="G14" s="1238"/>
      <c r="H14" s="1238"/>
      <c r="I14" s="1238"/>
      <c r="J14" s="1238"/>
      <c r="K14" s="1238"/>
      <c r="L14" s="1263"/>
      <c r="M14" s="1245"/>
      <c r="N14" s="1245"/>
      <c r="P14" s="1240"/>
      <c r="Q14" s="1241"/>
      <c r="R14" s="1240"/>
      <c r="S14" s="1246"/>
      <c r="T14" s="1247" t="s">
        <v>236</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2">
        <v>0</v>
      </c>
    </row>
    <row r="15" spans="1:45" s="1566" customFormat="1" ht="0.75" hidden="1" customHeight="1">
      <c r="A15" s="1238"/>
      <c r="B15" s="1238"/>
      <c r="C15" s="1238"/>
      <c r="D15" s="1238"/>
      <c r="E15" s="4033"/>
      <c r="F15" s="1238"/>
      <c r="G15" s="1238"/>
      <c r="H15" s="1238"/>
      <c r="I15" s="1238"/>
      <c r="J15" s="1238"/>
      <c r="K15" s="1238"/>
      <c r="L15" s="1263"/>
      <c r="M15" s="1245"/>
      <c r="N15" s="1245"/>
      <c r="P15" s="1240"/>
      <c r="Q15" s="1241"/>
      <c r="R15" s="1240"/>
      <c r="S15" s="1246"/>
      <c r="T15" s="1249" t="s">
        <v>286</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2">
        <v>0</v>
      </c>
    </row>
    <row r="16" spans="1:45" ht="14.25" hidden="1" customHeight="1">
      <c r="AC16" s="262"/>
      <c r="AK16" s="262"/>
      <c r="AS16" s="1079">
        <v>0</v>
      </c>
    </row>
    <row r="17" spans="1:45" ht="14.25" hidden="1" customHeight="1">
      <c r="P17" s="1235"/>
      <c r="AD17" s="1284"/>
      <c r="AE17" s="1284"/>
      <c r="AF17" s="1284"/>
      <c r="AG17" s="1285"/>
      <c r="AH17" s="4031"/>
      <c r="AI17" s="4030" t="s">
        <v>53</v>
      </c>
      <c r="AJ17" s="4031"/>
      <c r="AK17" s="4030" t="s">
        <v>53</v>
      </c>
      <c r="AS17" s="1079">
        <v>0</v>
      </c>
    </row>
    <row r="18" spans="1:45" ht="14.25" hidden="1" customHeight="1">
      <c r="P18" s="1235"/>
      <c r="AD18" s="1284"/>
      <c r="AE18" s="1284"/>
      <c r="AF18" s="1284"/>
      <c r="AG18" s="263" t="str">
        <f>AH17&amp;"-"&amp;AJ17</f>
        <v>-</v>
      </c>
      <c r="AH18" s="4030"/>
      <c r="AI18" s="4030"/>
      <c r="AJ18" s="4030"/>
      <c r="AK18" s="4030"/>
      <c r="AS18" s="1079">
        <v>0</v>
      </c>
    </row>
    <row r="19" spans="1:45" ht="14.25" hidden="1" customHeight="1">
      <c r="P19" s="1235"/>
      <c r="AK19" s="262"/>
      <c r="AS19" s="1079">
        <v>0</v>
      </c>
    </row>
    <row r="20" spans="1:45" s="1290" customFormat="1" ht="22.5" hidden="1" customHeight="1">
      <c r="L20" s="1253"/>
      <c r="M20" s="1286"/>
      <c r="N20" s="1286"/>
      <c r="O20" s="1291" t="s">
        <v>622</v>
      </c>
      <c r="P20" s="1286"/>
      <c r="Q20" s="1295"/>
      <c r="R20" s="1295"/>
      <c r="S20" s="663"/>
      <c r="Z20" s="1291"/>
      <c r="AB20" s="1291"/>
      <c r="AH20" s="1291"/>
      <c r="AJ20" s="1291"/>
      <c r="AN20" s="445"/>
      <c r="AO20" s="445"/>
      <c r="AP20" s="445"/>
      <c r="AQ20" s="445"/>
      <c r="AR20" s="445"/>
      <c r="AS20" s="1084">
        <v>0</v>
      </c>
    </row>
    <row r="21" spans="1:45" s="1290" customFormat="1" ht="14.25" hidden="1" customHeight="1">
      <c r="L21" s="1253"/>
      <c r="M21" s="1286"/>
      <c r="N21" s="1286"/>
      <c r="O21" s="1286"/>
      <c r="P21" s="1286"/>
      <c r="Q21" s="1295"/>
      <c r="R21" s="1295"/>
      <c r="S21" s="663"/>
      <c r="AN21" s="445"/>
      <c r="AO21" s="445"/>
      <c r="AP21" s="445"/>
      <c r="AQ21" s="445"/>
      <c r="AR21" s="445"/>
      <c r="AS21" s="1084">
        <v>0</v>
      </c>
    </row>
    <row r="22" spans="1:45" s="1290" customFormat="1" ht="14.25" hidden="1" customHeight="1">
      <c r="L22" s="1253"/>
      <c r="M22" s="1286"/>
      <c r="N22" s="1286"/>
      <c r="O22" s="1288" t="s">
        <v>623</v>
      </c>
      <c r="P22" s="1286"/>
      <c r="Q22" s="1295"/>
      <c r="R22" s="1295"/>
      <c r="S22" s="663"/>
      <c r="T22" s="1084" t="s">
        <v>624</v>
      </c>
      <c r="AA22" s="121" t="s">
        <v>625</v>
      </c>
      <c r="AC22" s="121" t="s">
        <v>626</v>
      </c>
      <c r="AD22" s="1084" t="s">
        <v>624</v>
      </c>
      <c r="AI22" s="121" t="s">
        <v>627</v>
      </c>
      <c r="AK22" s="121" t="s">
        <v>626</v>
      </c>
      <c r="AN22" s="445"/>
      <c r="AO22" s="445"/>
      <c r="AP22" s="445"/>
      <c r="AQ22" s="445"/>
      <c r="AR22" s="445"/>
      <c r="AS22" s="1084">
        <v>0</v>
      </c>
    </row>
    <row r="23" spans="1:45" ht="14.25" hidden="1" customHeight="1">
      <c r="O23" s="1288"/>
      <c r="P23" s="1235"/>
      <c r="AS23" s="1079">
        <v>0</v>
      </c>
    </row>
    <row r="24" spans="1:45" ht="14.25" hidden="1" customHeight="1">
      <c r="O24" s="1288"/>
      <c r="P24" s="1235"/>
      <c r="AS24" s="1079">
        <v>0</v>
      </c>
    </row>
    <row r="25" spans="1:45" ht="14.65" customHeight="1">
      <c r="Q25" s="310"/>
      <c r="R25" s="310"/>
      <c r="S25" s="1199"/>
      <c r="T25" s="297"/>
      <c r="U25" s="297"/>
      <c r="V25" s="443"/>
      <c r="W25" s="443"/>
      <c r="X25" s="443"/>
      <c r="Y25" s="443"/>
      <c r="Z25" s="443"/>
      <c r="AA25" s="443"/>
      <c r="AB25" s="443"/>
      <c r="AC25" s="443"/>
      <c r="AD25" s="443"/>
      <c r="AE25" s="443"/>
      <c r="AF25" s="443"/>
      <c r="AG25" s="443"/>
      <c r="AH25" s="443"/>
      <c r="AI25" s="443"/>
      <c r="AJ25" s="443"/>
      <c r="AK25" s="443"/>
      <c r="AS25" s="1079">
        <v>14</v>
      </c>
    </row>
    <row r="26" spans="1:45" ht="14.65" customHeight="1">
      <c r="Q26" s="310"/>
      <c r="R26" s="310"/>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67"/>
      <c r="AS26" s="1079">
        <v>14</v>
      </c>
    </row>
    <row r="27" spans="1:45" ht="14.65" customHeight="1">
      <c r="Q27" s="310"/>
      <c r="R27" s="310"/>
      <c r="S27" s="3987" t="str">
        <f>IF(org=0,"Не определено",org)</f>
        <v>ООО "Смоленскрегионтеплоэнерго"</v>
      </c>
      <c r="T27" s="3987"/>
      <c r="U27" s="3987"/>
      <c r="V27" s="3987"/>
      <c r="W27" s="3987"/>
      <c r="X27" s="3987"/>
      <c r="Y27" s="3987"/>
      <c r="Z27" s="3987"/>
      <c r="AA27" s="3987"/>
      <c r="AB27" s="3987"/>
      <c r="AC27" s="3987"/>
      <c r="AD27" s="3987"/>
      <c r="AE27" s="3987"/>
      <c r="AF27" s="3987"/>
      <c r="AG27" s="3987"/>
      <c r="AH27" s="3987"/>
      <c r="AI27" s="3987"/>
      <c r="AJ27" s="3987"/>
      <c r="AK27" s="1167"/>
      <c r="AS27" s="1079">
        <v>14</v>
      </c>
    </row>
    <row r="28" spans="1:45" ht="14.25" hidden="1" customHeight="1">
      <c r="Q28" s="310"/>
      <c r="R28" s="310"/>
      <c r="S28" s="1199"/>
      <c r="T28" s="297"/>
      <c r="U28" s="297"/>
      <c r="V28" s="257"/>
      <c r="W28" s="257"/>
      <c r="X28" s="257"/>
      <c r="Y28" s="257"/>
      <c r="Z28" s="257"/>
      <c r="AA28" s="257"/>
      <c r="AB28" s="257"/>
      <c r="AC28" s="257"/>
      <c r="AD28" s="257"/>
      <c r="AE28" s="257"/>
      <c r="AF28" s="257"/>
      <c r="AG28" s="257"/>
      <c r="AH28" s="257"/>
      <c r="AI28" s="257"/>
      <c r="AJ28" s="257"/>
      <c r="AK28" s="257"/>
      <c r="AL28" s="443"/>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4024" t="s">
        <v>29</v>
      </c>
      <c r="T29" s="4024"/>
      <c r="U29" s="1296"/>
      <c r="V29" s="4026" t="str">
        <f>IF(TITLE_NAME_OR_PR_CHANGE="",IF(TITLE_NAME_OR_PR="","",TITLE_NAME_OR_PR),TITLE_NAME_OR_PR_CHANGE)</f>
        <v/>
      </c>
      <c r="W29" s="4026"/>
      <c r="X29" s="4026"/>
      <c r="Y29" s="4026"/>
      <c r="Z29" s="4026"/>
      <c r="AA29" s="4026"/>
      <c r="AB29" s="4026"/>
      <c r="AC29" s="261"/>
      <c r="AD29" s="4026" t="str">
        <f>IF(TITLE_NAME_OR_PR_CHANGE="",IF(TITLE_NAME_OR_PR="","",TITLE_NAME_OR_PR),TITLE_NAME_OR_PR_CHANGE)</f>
        <v/>
      </c>
      <c r="AE29" s="4026"/>
      <c r="AF29" s="4026"/>
      <c r="AG29" s="4026"/>
      <c r="AH29" s="4026"/>
      <c r="AI29" s="4026"/>
      <c r="AJ29" s="4026"/>
      <c r="AK29" s="261"/>
      <c r="AL29" s="261"/>
      <c r="AM29" s="215"/>
      <c r="AN29" s="302"/>
      <c r="AO29" s="302"/>
      <c r="AP29" s="302"/>
      <c r="AQ29" s="302"/>
      <c r="AR29" s="302"/>
      <c r="AS29" s="352">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4024" t="s">
        <v>628</v>
      </c>
      <c r="T30" s="4024"/>
      <c r="U30" s="1296"/>
      <c r="V30" s="4025">
        <f>IF(TITLE_DATE_PR_CHANGE="",IF(TITLE_DATE_PR="","",TITLE_DATE_PR),TITLE_DATE_PR_CHANGE)</f>
        <v>45765</v>
      </c>
      <c r="W30" s="4025"/>
      <c r="X30" s="4025"/>
      <c r="Y30" s="4025"/>
      <c r="Z30" s="4025"/>
      <c r="AA30" s="4025"/>
      <c r="AB30" s="4025"/>
      <c r="AC30" s="261"/>
      <c r="AD30" s="4025">
        <f>IF(TITLE_DATE_PR_CHANGE="",IF(TITLE_DATE_PR="","",TITLE_DATE_PR),TITLE_DATE_PR_CHANGE)</f>
        <v>45765</v>
      </c>
      <c r="AE30" s="4025"/>
      <c r="AF30" s="4025"/>
      <c r="AG30" s="4025"/>
      <c r="AH30" s="4025"/>
      <c r="AI30" s="4025"/>
      <c r="AJ30" s="4025"/>
      <c r="AK30" s="261"/>
      <c r="AL30" s="261"/>
      <c r="AM30" s="215"/>
      <c r="AN30" s="302"/>
      <c r="AO30" s="302"/>
      <c r="AP30" s="302"/>
      <c r="AQ30" s="302"/>
      <c r="AR30" s="302"/>
      <c r="AS30" s="352">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4024" t="s">
        <v>629</v>
      </c>
      <c r="T31" s="4024"/>
      <c r="U31" s="1296"/>
      <c r="V31" s="4026" t="str">
        <f>IF(TITLE_NUMBER_PR_CHANGE="",IF(TITLE_NUMBER_PR="","",TITLE_NUMBER_PR),TITLE_NUMBER_PR_CHANGE)</f>
        <v>917</v>
      </c>
      <c r="W31" s="4026"/>
      <c r="X31" s="4026"/>
      <c r="Y31" s="4026"/>
      <c r="Z31" s="4026"/>
      <c r="AA31" s="4026"/>
      <c r="AB31" s="4026"/>
      <c r="AC31" s="261"/>
      <c r="AD31" s="4026" t="str">
        <f>IF(TITLE_NUMBER_PR_CHANGE="",IF(TITLE_NUMBER_PR="","",TITLE_NUMBER_PR),TITLE_NUMBER_PR_CHANGE)</f>
        <v>917</v>
      </c>
      <c r="AE31" s="4026"/>
      <c r="AF31" s="4026"/>
      <c r="AG31" s="4026"/>
      <c r="AH31" s="4026"/>
      <c r="AI31" s="4026"/>
      <c r="AJ31" s="4026"/>
      <c r="AK31" s="261"/>
      <c r="AL31" s="261"/>
      <c r="AM31" s="215"/>
      <c r="AN31" s="302"/>
      <c r="AO31" s="302"/>
      <c r="AP31" s="302"/>
      <c r="AQ31" s="302"/>
      <c r="AR31" s="302"/>
      <c r="AS31" s="352">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4024" t="s">
        <v>30</v>
      </c>
      <c r="T32" s="4024"/>
      <c r="U32" s="1296"/>
      <c r="V32" s="4026" t="str">
        <f>IF(TITLE_IST_PUB_CHANGE="",IF(TITLE_IST_PUB="","",TITLE_IST_PUB),TITLE_IST_PUB_CHANGE)</f>
        <v/>
      </c>
      <c r="W32" s="4026"/>
      <c r="X32" s="4026"/>
      <c r="Y32" s="4026"/>
      <c r="Z32" s="4026"/>
      <c r="AA32" s="4026"/>
      <c r="AB32" s="4026"/>
      <c r="AC32" s="261"/>
      <c r="AD32" s="4026" t="str">
        <f>IF(TITLE_IST_PUB_CHANGE="",IF(TITLE_IST_PUB="","",TITLE_IST_PUB),TITLE_IST_PUB_CHANGE)</f>
        <v/>
      </c>
      <c r="AE32" s="4026"/>
      <c r="AF32" s="4026"/>
      <c r="AG32" s="4026"/>
      <c r="AH32" s="4026"/>
      <c r="AI32" s="4026"/>
      <c r="AJ32" s="4026"/>
      <c r="AK32" s="261"/>
      <c r="AL32" s="261"/>
      <c r="AM32" s="215"/>
      <c r="AN32" s="302"/>
      <c r="AO32" s="302"/>
      <c r="AP32" s="302"/>
      <c r="AQ32" s="302"/>
      <c r="AR32" s="302"/>
      <c r="AS32" s="352">
        <v>0</v>
      </c>
    </row>
    <row r="33" spans="1:45" ht="14.25" customHeight="1">
      <c r="P33" s="1252"/>
      <c r="Q33" s="310"/>
      <c r="R33" s="310"/>
      <c r="S33" s="1199"/>
      <c r="T33" s="297"/>
      <c r="U33" s="297"/>
      <c r="V33" s="257"/>
      <c r="W33" s="257"/>
      <c r="X33" s="257"/>
      <c r="Y33" s="257"/>
      <c r="Z33" s="257"/>
      <c r="AA33" s="257"/>
      <c r="AB33" s="257"/>
      <c r="AC33" s="257"/>
      <c r="AD33" s="257"/>
      <c r="AE33" s="257"/>
      <c r="AF33" s="257"/>
      <c r="AG33" s="257"/>
      <c r="AH33" s="257"/>
      <c r="AI33" s="257"/>
      <c r="AJ33" s="257"/>
      <c r="AK33" s="257"/>
      <c r="AL33" s="443"/>
      <c r="AS33" s="1079">
        <v>0</v>
      </c>
    </row>
    <row r="34" spans="1:45" s="1748" customFormat="1" ht="18.75" customHeight="1">
      <c r="A34" s="1292"/>
      <c r="B34" s="1292"/>
      <c r="C34" s="1292"/>
      <c r="D34" s="1292"/>
      <c r="E34" s="1292"/>
      <c r="F34" s="1292"/>
      <c r="G34" s="1292"/>
      <c r="H34" s="1292"/>
      <c r="I34" s="1292"/>
      <c r="J34" s="1292"/>
      <c r="K34" s="1292"/>
      <c r="L34" s="1293"/>
      <c r="M34" s="1292"/>
      <c r="N34" s="1292"/>
      <c r="O34" s="1292"/>
      <c r="S34" s="4024" t="s">
        <v>630</v>
      </c>
      <c r="T34" s="4024"/>
      <c r="U34" s="1296"/>
      <c r="V34" s="4025">
        <f>IF(TITLE_DATE_PR_CHANGE="",IF(TITLE_DATE_PR="","",TITLE_DATE_PR),TITLE_DATE_PR_CHANGE)</f>
        <v>45765</v>
      </c>
      <c r="W34" s="4025"/>
      <c r="X34" s="4025"/>
      <c r="Y34" s="4025"/>
      <c r="Z34" s="4025"/>
      <c r="AA34" s="4025"/>
      <c r="AB34" s="4025"/>
      <c r="AC34" s="261"/>
      <c r="AD34" s="4025">
        <f>IF(TITLE_DATE_PR_CHANGE="",IF(TITLE_DATE_PR="","",TITLE_DATE_PR),TITLE_DATE_PR_CHANGE)</f>
        <v>45765</v>
      </c>
      <c r="AE34" s="4025"/>
      <c r="AF34" s="4025"/>
      <c r="AG34" s="4025"/>
      <c r="AH34" s="4025"/>
      <c r="AI34" s="4025"/>
      <c r="AJ34" s="4025"/>
      <c r="AK34" s="261"/>
      <c r="AL34" s="261"/>
      <c r="AM34" s="215"/>
      <c r="AN34" s="302"/>
      <c r="AO34" s="302"/>
      <c r="AP34" s="302"/>
      <c r="AQ34" s="302"/>
      <c r="AR34" s="302"/>
      <c r="AS34" s="352">
        <v>0</v>
      </c>
    </row>
    <row r="35" spans="1:45" s="1748" customFormat="1" ht="18.75" customHeight="1">
      <c r="A35" s="1292"/>
      <c r="B35" s="1292"/>
      <c r="C35" s="1292"/>
      <c r="D35" s="1292"/>
      <c r="E35" s="1292"/>
      <c r="F35" s="1292"/>
      <c r="G35" s="1292"/>
      <c r="H35" s="1292"/>
      <c r="I35" s="1292"/>
      <c r="J35" s="1292"/>
      <c r="K35" s="1292"/>
      <c r="L35" s="1293"/>
      <c r="M35" s="1292"/>
      <c r="N35" s="1292"/>
      <c r="O35" s="1292"/>
      <c r="S35" s="4024" t="s">
        <v>631</v>
      </c>
      <c r="T35" s="4024"/>
      <c r="U35" s="1296"/>
      <c r="V35" s="4026" t="str">
        <f>IF(TITLE_NUMBER_PR_CHANGE="",IF(TITLE_NUMBER_PR="","",TITLE_NUMBER_PR),TITLE_NUMBER_PR_CHANGE)</f>
        <v>917</v>
      </c>
      <c r="W35" s="4026"/>
      <c r="X35" s="4026"/>
      <c r="Y35" s="4026"/>
      <c r="Z35" s="4026"/>
      <c r="AA35" s="4026"/>
      <c r="AB35" s="4026"/>
      <c r="AC35" s="261"/>
      <c r="AD35" s="4026" t="str">
        <f>IF(TITLE_NUMBER_PR_CHANGE="",IF(TITLE_NUMBER_PR="","",TITLE_NUMBER_PR),TITLE_NUMBER_PR_CHANGE)</f>
        <v>917</v>
      </c>
      <c r="AE35" s="4026"/>
      <c r="AF35" s="4026"/>
      <c r="AG35" s="4026"/>
      <c r="AH35" s="4026"/>
      <c r="AI35" s="4026"/>
      <c r="AJ35" s="4026"/>
      <c r="AK35" s="261"/>
      <c r="AL35" s="261"/>
      <c r="AM35" s="215"/>
      <c r="AN35" s="302"/>
      <c r="AO35" s="302"/>
      <c r="AP35" s="302"/>
      <c r="AQ35" s="302"/>
      <c r="AR35" s="302"/>
      <c r="AS35" s="352">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143"/>
      <c r="V36" s="261"/>
      <c r="W36" s="261"/>
      <c r="X36" s="261"/>
      <c r="Y36" s="261"/>
      <c r="Z36" s="261"/>
      <c r="AA36" s="261"/>
      <c r="AB36" s="261"/>
      <c r="AC36" s="213" t="s">
        <v>632</v>
      </c>
      <c r="AD36" s="261"/>
      <c r="AE36" s="261"/>
      <c r="AF36" s="261"/>
      <c r="AG36" s="261"/>
      <c r="AH36" s="261"/>
      <c r="AI36" s="261"/>
      <c r="AJ36" s="261"/>
      <c r="AK36" s="213" t="s">
        <v>632</v>
      </c>
      <c r="AN36" s="302"/>
      <c r="AO36" s="302"/>
      <c r="AP36" s="302"/>
      <c r="AQ36" s="302"/>
      <c r="AR36" s="302"/>
      <c r="AS36" s="352">
        <v>0</v>
      </c>
    </row>
    <row r="37" spans="1:45" ht="14.65" customHeight="1">
      <c r="Q37" s="310"/>
      <c r="R37" s="310"/>
      <c r="S37" s="1199"/>
      <c r="T37" s="297"/>
      <c r="U37" s="1168"/>
      <c r="V37" s="4045"/>
      <c r="W37" s="4045"/>
      <c r="X37" s="4045"/>
      <c r="Y37" s="4045"/>
      <c r="Z37" s="4045"/>
      <c r="AA37" s="4045"/>
      <c r="AB37" s="4045"/>
      <c r="AC37" s="4045"/>
      <c r="AD37" s="4045"/>
      <c r="AE37" s="4045"/>
      <c r="AF37" s="4045"/>
      <c r="AG37" s="4045"/>
      <c r="AH37" s="4045"/>
      <c r="AI37" s="4045"/>
      <c r="AJ37" s="4045"/>
      <c r="AK37" s="4045"/>
      <c r="AS37" s="1079">
        <v>14</v>
      </c>
    </row>
    <row r="38" spans="1:45" ht="14.65" customHeight="1">
      <c r="Q38" s="310"/>
      <c r="R38" s="310"/>
      <c r="S38" s="3889" t="s">
        <v>508</v>
      </c>
      <c r="T38" s="3889"/>
      <c r="U38" s="3889"/>
      <c r="V38" s="3889"/>
      <c r="W38" s="3889"/>
      <c r="X38" s="3889"/>
      <c r="Y38" s="3889"/>
      <c r="Z38" s="3889"/>
      <c r="AA38" s="3889"/>
      <c r="AB38" s="3889"/>
      <c r="AC38" s="3889"/>
      <c r="AD38" s="3889"/>
      <c r="AE38" s="3889"/>
      <c r="AF38" s="3889"/>
      <c r="AG38" s="3889"/>
      <c r="AH38" s="3889"/>
      <c r="AI38" s="3889"/>
      <c r="AJ38" s="3889"/>
      <c r="AK38" s="3889"/>
      <c r="AL38" s="3889"/>
      <c r="AM38" s="3889" t="s">
        <v>509</v>
      </c>
      <c r="AS38" s="1079">
        <v>14</v>
      </c>
    </row>
    <row r="39" spans="1:45" ht="14.65" customHeight="1">
      <c r="Q39" s="310"/>
      <c r="R39" s="310"/>
      <c r="S39" s="4046" t="s">
        <v>75</v>
      </c>
      <c r="T39" s="3995" t="s">
        <v>633</v>
      </c>
      <c r="U39" s="236"/>
      <c r="V39" s="4047" t="s">
        <v>634</v>
      </c>
      <c r="W39" s="4048"/>
      <c r="X39" s="4048"/>
      <c r="Y39" s="4048"/>
      <c r="Z39" s="4048"/>
      <c r="AA39" s="4048"/>
      <c r="AB39" s="4049"/>
      <c r="AC39" s="4050" t="s">
        <v>635</v>
      </c>
      <c r="AD39" s="4047" t="s">
        <v>634</v>
      </c>
      <c r="AE39" s="4048"/>
      <c r="AF39" s="4048"/>
      <c r="AG39" s="4048"/>
      <c r="AH39" s="4048"/>
      <c r="AI39" s="4048"/>
      <c r="AJ39" s="4049"/>
      <c r="AK39" s="4050" t="s">
        <v>636</v>
      </c>
      <c r="AL39" s="4053" t="s">
        <v>637</v>
      </c>
      <c r="AM39" s="3889"/>
      <c r="AS39" s="1079">
        <v>14</v>
      </c>
    </row>
    <row r="40" spans="1:45" ht="35.65" customHeight="1">
      <c r="Q40" s="310"/>
      <c r="R40" s="310"/>
      <c r="S40" s="4046"/>
      <c r="T40" s="3995"/>
      <c r="U40" s="958"/>
      <c r="V40" s="3967" t="s">
        <v>638</v>
      </c>
      <c r="W40" s="4042" t="s">
        <v>639</v>
      </c>
      <c r="X40" s="3870" t="s">
        <v>640</v>
      </c>
      <c r="Y40" s="3869"/>
      <c r="Z40" s="3870" t="s">
        <v>641</v>
      </c>
      <c r="AA40" s="3875"/>
      <c r="AB40" s="3869"/>
      <c r="AC40" s="4051"/>
      <c r="AD40" s="3967" t="s">
        <v>638</v>
      </c>
      <c r="AE40" s="4042" t="s">
        <v>639</v>
      </c>
      <c r="AF40" s="3870" t="s">
        <v>640</v>
      </c>
      <c r="AG40" s="3869"/>
      <c r="AH40" s="3870" t="s">
        <v>641</v>
      </c>
      <c r="AI40" s="3875"/>
      <c r="AJ40" s="3869"/>
      <c r="AK40" s="4051"/>
      <c r="AL40" s="4054"/>
      <c r="AM40" s="3889"/>
      <c r="AS40" s="1079">
        <v>34</v>
      </c>
    </row>
    <row r="41" spans="1:45" ht="35.65" customHeight="1">
      <c r="A41" s="1294"/>
      <c r="B41" s="1294" t="s">
        <v>207</v>
      </c>
      <c r="C41" s="1294" t="s">
        <v>208</v>
      </c>
      <c r="D41" s="1294" t="s">
        <v>209</v>
      </c>
      <c r="E41" s="1288" t="s">
        <v>642</v>
      </c>
      <c r="F41" s="1288" t="s">
        <v>643</v>
      </c>
      <c r="G41" s="1288" t="s">
        <v>644</v>
      </c>
      <c r="H41" s="1288" t="s">
        <v>645</v>
      </c>
      <c r="I41" s="1288" t="s">
        <v>646</v>
      </c>
      <c r="J41" s="1288" t="s">
        <v>647</v>
      </c>
      <c r="K41" s="1288" t="s">
        <v>648</v>
      </c>
      <c r="L41" s="1288" t="s">
        <v>623</v>
      </c>
      <c r="Q41" s="310"/>
      <c r="R41" s="310"/>
      <c r="S41" s="4046"/>
      <c r="T41" s="3995"/>
      <c r="U41" s="237"/>
      <c r="V41" s="4019"/>
      <c r="W41" s="4043"/>
      <c r="X41" s="1146" t="s">
        <v>649</v>
      </c>
      <c r="Y41" s="1146" t="s">
        <v>650</v>
      </c>
      <c r="Z41" s="1145" t="s">
        <v>651</v>
      </c>
      <c r="AA41" s="4000" t="s">
        <v>652</v>
      </c>
      <c r="AB41" s="4013"/>
      <c r="AC41" s="4052"/>
      <c r="AD41" s="4019"/>
      <c r="AE41" s="4043"/>
      <c r="AF41" s="1146" t="s">
        <v>649</v>
      </c>
      <c r="AG41" s="1146" t="s">
        <v>650</v>
      </c>
      <c r="AH41" s="1237" t="s">
        <v>651</v>
      </c>
      <c r="AI41" s="4000" t="s">
        <v>652</v>
      </c>
      <c r="AJ41" s="4013"/>
      <c r="AK41" s="4052"/>
      <c r="AL41" s="4055"/>
      <c r="AM41" s="3889"/>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184</v>
      </c>
      <c r="T42" s="1179" t="s">
        <v>89</v>
      </c>
      <c r="U42" s="1169" t="str">
        <f ca="1">OFFSET(U42,0,-1)</f>
        <v>2</v>
      </c>
      <c r="V42" s="1180">
        <f ca="1">OFFSET(V42,0,-1)+1</f>
        <v>3</v>
      </c>
      <c r="W42" s="1180"/>
      <c r="X42" s="1180">
        <f ca="1">OFFSET(X42,0,-1)+1</f>
        <v>1</v>
      </c>
      <c r="Y42" s="1180">
        <f ca="1">OFFSET(Y42,0,-1)+1</f>
        <v>2</v>
      </c>
      <c r="Z42" s="1180">
        <f ca="1">OFFSET(Z42,0,-1)+1</f>
        <v>3</v>
      </c>
      <c r="AA42" s="4044">
        <f ca="1">OFFSET(AA42,0,-1)+1</f>
        <v>4</v>
      </c>
      <c r="AB42" s="4044"/>
      <c r="AC42" s="1180">
        <f ca="1">OFFSET(AC42,0,-2)+1</f>
        <v>5</v>
      </c>
      <c r="AD42" s="1236">
        <f ca="1">OFFSET(AD42,0,-1)+1</f>
        <v>6</v>
      </c>
      <c r="AE42" s="1236"/>
      <c r="AF42" s="1236">
        <f ca="1">OFFSET(AF42,0,-1)+1</f>
        <v>1</v>
      </c>
      <c r="AG42" s="1236">
        <f ca="1">OFFSET(AG42,0,-1)+1</f>
        <v>2</v>
      </c>
      <c r="AH42" s="1236">
        <f ca="1">OFFSET(AH42,0,-1)+1</f>
        <v>3</v>
      </c>
      <c r="AI42" s="4044">
        <f ca="1">OFFSET(AI42,0,-1)+1</f>
        <v>4</v>
      </c>
      <c r="AJ42" s="4044"/>
      <c r="AK42" s="1236">
        <f ca="1">OFFSET(AK42,0,-2)+1</f>
        <v>5</v>
      </c>
      <c r="AL42" s="1169">
        <f ca="1">OFFSET(AL42,0,-1)</f>
        <v>5</v>
      </c>
      <c r="AM42" s="1180">
        <f ca="1">OFFSET(AM42,0,-1)+1</f>
        <v>6</v>
      </c>
      <c r="AN42" s="445"/>
      <c r="AO42" s="445"/>
      <c r="AP42" s="445"/>
      <c r="AQ42" s="445"/>
      <c r="AR42" s="445"/>
      <c r="AS42" s="430">
        <v>0</v>
      </c>
    </row>
    <row r="43" spans="1:45" ht="24" customHeight="1">
      <c r="A43" s="1287" t="s">
        <v>222</v>
      </c>
      <c r="B43" s="1287"/>
      <c r="C43" s="1287"/>
      <c r="D43" s="1287"/>
      <c r="E43" s="4033">
        <v>1</v>
      </c>
      <c r="F43" s="1287"/>
      <c r="G43" s="1287"/>
      <c r="H43" s="1287"/>
      <c r="I43" s="1287"/>
      <c r="J43" s="1287"/>
      <c r="K43" s="1287"/>
      <c r="L43" s="1288"/>
      <c r="M43" s="1289"/>
      <c r="N43" s="1289"/>
      <c r="O43" s="1289"/>
      <c r="P43" s="295"/>
      <c r="Q43" s="294"/>
      <c r="R43" s="289"/>
      <c r="S43" s="1148">
        <f>INDEX(PT_DIFFERENTIATION_NUM_NTAR,MATCH(A43,PT_DIFFERENTIATION_NTAR_ID,0))</f>
        <v>0</v>
      </c>
      <c r="T43" s="233" t="s">
        <v>195</v>
      </c>
      <c r="U43" s="235"/>
      <c r="V43" s="4027"/>
      <c r="W43" s="4028"/>
      <c r="X43" s="4028"/>
      <c r="Y43" s="4028"/>
      <c r="Z43" s="4028"/>
      <c r="AA43" s="4028"/>
      <c r="AB43" s="4028"/>
      <c r="AC43" s="4029"/>
      <c r="AD43" s="4027" t="str">
        <f>INDEX(PT_DIFFERENTIATION_NTAR,MATCH(A43,PT_DIFFERENTIATION_NTAR_ID,0))</f>
        <v/>
      </c>
      <c r="AE43" s="4028"/>
      <c r="AF43" s="4028"/>
      <c r="AG43" s="4028"/>
      <c r="AH43" s="4028"/>
      <c r="AI43" s="4028"/>
      <c r="AJ43" s="4028"/>
      <c r="AK43" s="4028"/>
      <c r="AL43" s="4029"/>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9">
        <v>23</v>
      </c>
    </row>
    <row r="44" spans="1:45" ht="24" customHeight="1">
      <c r="A44" s="1287" t="s">
        <v>222</v>
      </c>
      <c r="B44" s="1287" t="s">
        <v>223</v>
      </c>
      <c r="C44" s="1287"/>
      <c r="D44" s="1287"/>
      <c r="E44" s="4034"/>
      <c r="F44" s="4033">
        <v>1</v>
      </c>
      <c r="G44" s="1287"/>
      <c r="H44" s="1287"/>
      <c r="I44" s="1287"/>
      <c r="J44" s="1287"/>
      <c r="K44" s="1287"/>
      <c r="L44" s="1288"/>
      <c r="M44" s="1289"/>
      <c r="N44" s="1289"/>
      <c r="O44" s="1289"/>
      <c r="P44" s="456"/>
      <c r="Q44" s="286"/>
      <c r="R44" s="287"/>
      <c r="S44" s="1148" t="str">
        <f>INDEX(PT_DIFFERENTIATION_NUM_TER,MATCH(B44,PT_DIFFERENTIATION_TER_ID,0))</f>
        <v>.</v>
      </c>
      <c r="T44" s="243" t="s">
        <v>605</v>
      </c>
      <c r="U44" s="235"/>
      <c r="V44" s="4027"/>
      <c r="W44" s="4028"/>
      <c r="X44" s="4028"/>
      <c r="Y44" s="4028"/>
      <c r="Z44" s="4028"/>
      <c r="AA44" s="4028"/>
      <c r="AB44" s="4028"/>
      <c r="AC44" s="4029"/>
      <c r="AD44" s="4027" t="str">
        <f>INDEX(PT_DIFFERENTIATION_TER,MATCH(B44,PT_DIFFERENTIATION_TER_ID,0))</f>
        <v/>
      </c>
      <c r="AE44" s="4028"/>
      <c r="AF44" s="4028"/>
      <c r="AG44" s="4028"/>
      <c r="AH44" s="4028"/>
      <c r="AI44" s="4028"/>
      <c r="AJ44" s="4028"/>
      <c r="AK44" s="4028"/>
      <c r="AL44" s="4029"/>
      <c r="AM44" s="1182" t="s">
        <v>606</v>
      </c>
      <c r="AO44" s="434"/>
      <c r="AP44" s="434" t="str">
        <f t="shared" si="1"/>
        <v>Территория действия тарифа</v>
      </c>
      <c r="AQ44" s="434"/>
      <c r="AR44" s="434"/>
      <c r="AS44" s="1079">
        <v>23</v>
      </c>
    </row>
    <row r="45" spans="1:45" ht="24" customHeight="1">
      <c r="A45" s="1287" t="s">
        <v>222</v>
      </c>
      <c r="B45" s="1287" t="s">
        <v>223</v>
      </c>
      <c r="C45" s="1287" t="s">
        <v>224</v>
      </c>
      <c r="D45" s="1287"/>
      <c r="E45" s="4034"/>
      <c r="F45" s="4034"/>
      <c r="G45" s="4033">
        <v>1</v>
      </c>
      <c r="H45" s="1287"/>
      <c r="I45" s="1287"/>
      <c r="J45" s="1287"/>
      <c r="K45" s="1287"/>
      <c r="L45" s="1288"/>
      <c r="M45" s="1289"/>
      <c r="N45" s="1289"/>
      <c r="O45" s="1289"/>
      <c r="P45" s="288"/>
      <c r="Q45" s="286"/>
      <c r="R45" s="287"/>
      <c r="S45" s="1148" t="str">
        <f>INDEX(PT_DIFFERENTIATION_NUM_CS,MATCH(C45,PT_DIFFERENTIATION_CS_ID,0))</f>
        <v>..</v>
      </c>
      <c r="T45" s="244" t="s">
        <v>607</v>
      </c>
      <c r="U45" s="235"/>
      <c r="V45" s="4027"/>
      <c r="W45" s="4028"/>
      <c r="X45" s="4028"/>
      <c r="Y45" s="4028"/>
      <c r="Z45" s="4028"/>
      <c r="AA45" s="4028"/>
      <c r="AB45" s="4028"/>
      <c r="AC45" s="4029"/>
      <c r="AD45" s="4027" t="str">
        <f>INDEX(PT_DIFFERENTIATION_CS,MATCH(C45,PT_DIFFERENTIATION_CS_ID,0))</f>
        <v/>
      </c>
      <c r="AE45" s="4028"/>
      <c r="AF45" s="4028"/>
      <c r="AG45" s="4028"/>
      <c r="AH45" s="4028"/>
      <c r="AI45" s="4028"/>
      <c r="AJ45" s="4028"/>
      <c r="AK45" s="4028"/>
      <c r="AL45" s="4029"/>
      <c r="AM45" s="1182" t="s">
        <v>608</v>
      </c>
      <c r="AO45" s="434"/>
      <c r="AP45" s="434" t="str">
        <f t="shared" si="1"/>
        <v xml:space="preserve">Наименование системы теплоснабжения </v>
      </c>
      <c r="AQ45" s="434"/>
      <c r="AR45" s="434"/>
      <c r="AS45" s="1079">
        <v>23</v>
      </c>
    </row>
    <row r="46" spans="1:45" ht="24" customHeight="1">
      <c r="A46" s="1287" t="s">
        <v>222</v>
      </c>
      <c r="B46" s="1287" t="s">
        <v>223</v>
      </c>
      <c r="C46" s="1287" t="s">
        <v>224</v>
      </c>
      <c r="D46" s="1287" t="s">
        <v>225</v>
      </c>
      <c r="E46" s="4034"/>
      <c r="F46" s="4034"/>
      <c r="G46" s="4034"/>
      <c r="H46" s="4033">
        <v>1</v>
      </c>
      <c r="I46" s="1287"/>
      <c r="J46" s="1287"/>
      <c r="K46" s="1287"/>
      <c r="L46" s="1288"/>
      <c r="M46" s="1289"/>
      <c r="N46" s="1289"/>
      <c r="O46" s="1289"/>
      <c r="P46" s="288"/>
      <c r="Q46" s="286"/>
      <c r="R46" s="287"/>
      <c r="S46" s="1148" t="str">
        <f>INDEX(PT_DIFFERENTIATION_NUM_IST_TE,MATCH(D46,PT_DIFFERENTIATION_IST_TE_ID,0))</f>
        <v>...</v>
      </c>
      <c r="T46" s="245" t="s">
        <v>609</v>
      </c>
      <c r="U46" s="235"/>
      <c r="V46" s="4027"/>
      <c r="W46" s="4028"/>
      <c r="X46" s="4028"/>
      <c r="Y46" s="4028"/>
      <c r="Z46" s="4028"/>
      <c r="AA46" s="4028"/>
      <c r="AB46" s="4028"/>
      <c r="AC46" s="4029"/>
      <c r="AD46" s="4027" t="str">
        <f>INDEX(PT_DIFFERENTIATION_IST_TE,MATCH(D46,PT_DIFFERENTIATION_IST_TE_ID,0))</f>
        <v/>
      </c>
      <c r="AE46" s="4028"/>
      <c r="AF46" s="4028"/>
      <c r="AG46" s="4028"/>
      <c r="AH46" s="4028"/>
      <c r="AI46" s="4028"/>
      <c r="AJ46" s="4028"/>
      <c r="AK46" s="4028"/>
      <c r="AL46" s="4029"/>
      <c r="AM46" s="1182" t="s">
        <v>610</v>
      </c>
      <c r="AO46" s="434"/>
      <c r="AP46" s="434" t="str">
        <f t="shared" si="1"/>
        <v xml:space="preserve">Источник тепловой энергии  </v>
      </c>
      <c r="AQ46" s="434"/>
      <c r="AR46" s="434"/>
      <c r="AS46" s="1079">
        <v>23</v>
      </c>
    </row>
    <row r="47" spans="1:45" ht="49.5" customHeight="1">
      <c r="A47" s="1287" t="s">
        <v>222</v>
      </c>
      <c r="B47" s="1287" t="s">
        <v>223</v>
      </c>
      <c r="C47" s="1287" t="s">
        <v>224</v>
      </c>
      <c r="D47" s="1287" t="s">
        <v>225</v>
      </c>
      <c r="E47" s="4034"/>
      <c r="F47" s="4034"/>
      <c r="G47" s="4034"/>
      <c r="H47" s="4034"/>
      <c r="I47" s="4035" t="str">
        <f>S46&amp;".1"</f>
        <v>....1</v>
      </c>
      <c r="J47" s="1287"/>
      <c r="K47" s="1287"/>
      <c r="L47" s="1288" t="s">
        <v>611</v>
      </c>
      <c r="P47" s="4037">
        <v>1</v>
      </c>
      <c r="Q47" s="1144"/>
      <c r="R47" s="290"/>
      <c r="S47" s="1148" t="str">
        <f>$I47</f>
        <v>....1</v>
      </c>
      <c r="T47" s="220" t="s">
        <v>612</v>
      </c>
      <c r="U47" s="235"/>
      <c r="V47" s="4021"/>
      <c r="W47" s="4022"/>
      <c r="X47" s="4022"/>
      <c r="Y47" s="4022"/>
      <c r="Z47" s="4022"/>
      <c r="AA47" s="4022"/>
      <c r="AB47" s="4022"/>
      <c r="AC47" s="4023"/>
      <c r="AD47" s="4021"/>
      <c r="AE47" s="4022"/>
      <c r="AF47" s="4022"/>
      <c r="AG47" s="4022"/>
      <c r="AH47" s="4022"/>
      <c r="AI47" s="4022"/>
      <c r="AJ47" s="4022"/>
      <c r="AK47" s="4022"/>
      <c r="AL47" s="4023"/>
      <c r="AM47" s="1182" t="s">
        <v>613</v>
      </c>
      <c r="AO47" s="434"/>
      <c r="AP47" s="434" t="str">
        <f t="shared" si="1"/>
        <v>Схема подключения теплопотребляющей установки к коллектору источника тепловой энергии</v>
      </c>
      <c r="AQ47" s="434"/>
      <c r="AR47" s="434"/>
      <c r="AS47" s="1079">
        <v>47</v>
      </c>
    </row>
    <row r="48" spans="1:45" ht="24" customHeight="1">
      <c r="A48" s="1287" t="s">
        <v>222</v>
      </c>
      <c r="B48" s="1287" t="s">
        <v>223</v>
      </c>
      <c r="C48" s="1287" t="s">
        <v>224</v>
      </c>
      <c r="D48" s="1287" t="s">
        <v>225</v>
      </c>
      <c r="E48" s="4034"/>
      <c r="F48" s="4034"/>
      <c r="G48" s="4034"/>
      <c r="H48" s="4034"/>
      <c r="I48" s="4036"/>
      <c r="J48" s="4035" t="str">
        <f>I47&amp;".1"</f>
        <v>....1.1</v>
      </c>
      <c r="K48" s="1287"/>
      <c r="L48" s="1288" t="s">
        <v>614</v>
      </c>
      <c r="P48" s="4037"/>
      <c r="Q48" s="4037">
        <v>1</v>
      </c>
      <c r="R48" s="291"/>
      <c r="S48" s="1148" t="str">
        <f>$J48</f>
        <v>....1.1</v>
      </c>
      <c r="T48" s="221" t="s">
        <v>615</v>
      </c>
      <c r="U48" s="235"/>
      <c r="V48" s="4021"/>
      <c r="W48" s="4022"/>
      <c r="X48" s="4022"/>
      <c r="Y48" s="4022"/>
      <c r="Z48" s="4022"/>
      <c r="AA48" s="4022"/>
      <c r="AB48" s="4022"/>
      <c r="AC48" s="4023"/>
      <c r="AD48" s="4021"/>
      <c r="AE48" s="4022"/>
      <c r="AF48" s="4022"/>
      <c r="AG48" s="4022"/>
      <c r="AH48" s="4022"/>
      <c r="AI48" s="4022"/>
      <c r="AJ48" s="4022"/>
      <c r="AK48" s="4022"/>
      <c r="AL48" s="4023"/>
      <c r="AM48" s="1182" t="s">
        <v>616</v>
      </c>
      <c r="AO48" s="434"/>
      <c r="AP48" s="434" t="str">
        <f t="shared" si="1"/>
        <v>Группа потребителей</v>
      </c>
      <c r="AQ48" s="434"/>
      <c r="AR48" s="434"/>
      <c r="AS48" s="1079">
        <v>23</v>
      </c>
    </row>
    <row r="49" spans="1:45" ht="24" customHeight="1">
      <c r="A49" s="1287" t="s">
        <v>222</v>
      </c>
      <c r="B49" s="1287" t="s">
        <v>223</v>
      </c>
      <c r="C49" s="1287" t="s">
        <v>224</v>
      </c>
      <c r="D49" s="1287" t="s">
        <v>225</v>
      </c>
      <c r="E49" s="4034"/>
      <c r="F49" s="4034"/>
      <c r="G49" s="4034"/>
      <c r="H49" s="4034"/>
      <c r="I49" s="4036"/>
      <c r="J49" s="4036"/>
      <c r="K49" s="4035" t="str">
        <f>J48&amp;".1"</f>
        <v>....1.1.1</v>
      </c>
      <c r="L49" s="1288" t="s">
        <v>617</v>
      </c>
      <c r="P49" s="4037"/>
      <c r="Q49" s="4037"/>
      <c r="R49" s="291">
        <v>1</v>
      </c>
      <c r="S49" s="1148" t="str">
        <f>$K49</f>
        <v>....1.1.1</v>
      </c>
      <c r="T49" s="1271"/>
      <c r="U49" s="235"/>
      <c r="V49" s="685"/>
      <c r="W49" s="260"/>
      <c r="X49" s="685"/>
      <c r="Y49" s="1181"/>
      <c r="Z49" s="4038"/>
      <c r="AA49" s="3899" t="s">
        <v>53</v>
      </c>
      <c r="AB49" s="4038"/>
      <c r="AC49" s="3899" t="s">
        <v>53</v>
      </c>
      <c r="AD49" s="685"/>
      <c r="AE49" s="260"/>
      <c r="AF49" s="685"/>
      <c r="AG49" s="1181"/>
      <c r="AH49" s="4038"/>
      <c r="AI49" s="3899" t="s">
        <v>53</v>
      </c>
      <c r="AJ49" s="4040"/>
      <c r="AK49" s="3899" t="s">
        <v>53</v>
      </c>
      <c r="AL49" s="1272"/>
      <c r="AM49" s="4056" t="s">
        <v>618</v>
      </c>
      <c r="AN49" s="445" t="e">
        <f ca="1">STRCHECKDATE(V50:AL50)</f>
        <v>#NAME?</v>
      </c>
      <c r="AO49" s="434"/>
      <c r="AP49" s="434" t="str">
        <f t="shared" si="1"/>
        <v/>
      </c>
      <c r="AQ49" s="434"/>
      <c r="AR49" s="434"/>
      <c r="AS49" s="1079">
        <v>23</v>
      </c>
    </row>
    <row r="50" spans="1:45" ht="1.1499999999999999" customHeight="1">
      <c r="A50" s="1287" t="s">
        <v>222</v>
      </c>
      <c r="B50" s="1287" t="s">
        <v>223</v>
      </c>
      <c r="C50" s="1287" t="s">
        <v>224</v>
      </c>
      <c r="D50" s="1287" t="s">
        <v>225</v>
      </c>
      <c r="E50" s="4034"/>
      <c r="F50" s="4034"/>
      <c r="G50" s="4034"/>
      <c r="H50" s="4034"/>
      <c r="I50" s="4036"/>
      <c r="J50" s="4036"/>
      <c r="K50" s="4035"/>
      <c r="L50" s="1288"/>
      <c r="P50" s="4037"/>
      <c r="Q50" s="4037"/>
      <c r="R50" s="291"/>
      <c r="S50" s="1147"/>
      <c r="T50" s="235"/>
      <c r="U50" s="235"/>
      <c r="V50" s="260"/>
      <c r="W50" s="260"/>
      <c r="X50" s="260"/>
      <c r="Y50" s="263" t="str">
        <f>Z49&amp;"-"&amp;AB49</f>
        <v>-</v>
      </c>
      <c r="Z50" s="4039"/>
      <c r="AA50" s="3899"/>
      <c r="AB50" s="4039"/>
      <c r="AC50" s="3899"/>
      <c r="AD50" s="260"/>
      <c r="AE50" s="260"/>
      <c r="AF50" s="260"/>
      <c r="AG50" s="263" t="str">
        <f>AH49&amp;"-"&amp;AJ49</f>
        <v>-</v>
      </c>
      <c r="AH50" s="4039"/>
      <c r="AI50" s="3899"/>
      <c r="AJ50" s="4041"/>
      <c r="AK50" s="3899"/>
      <c r="AL50" s="1273"/>
      <c r="AM50" s="4057"/>
      <c r="AO50" s="434"/>
      <c r="AP50" s="434" t="str">
        <f t="shared" si="1"/>
        <v/>
      </c>
      <c r="AQ50" s="434"/>
      <c r="AR50" s="434"/>
      <c r="AS50" s="1079">
        <v>1</v>
      </c>
    </row>
    <row r="51" spans="1:45" ht="11.45" customHeight="1">
      <c r="A51" s="1287" t="s">
        <v>222</v>
      </c>
      <c r="B51" s="1287" t="s">
        <v>223</v>
      </c>
      <c r="C51" s="1287" t="s">
        <v>224</v>
      </c>
      <c r="D51" s="1287" t="s">
        <v>225</v>
      </c>
      <c r="E51" s="4034"/>
      <c r="F51" s="4034"/>
      <c r="G51" s="4034"/>
      <c r="H51" s="4034"/>
      <c r="I51" s="4036"/>
      <c r="J51" s="4035"/>
      <c r="K51" s="1287"/>
      <c r="L51" s="1288"/>
      <c r="P51" s="4037"/>
      <c r="Q51" s="4037"/>
      <c r="R51" s="290"/>
      <c r="S51" s="1202"/>
      <c r="T51" s="223" t="s">
        <v>619</v>
      </c>
      <c r="U51" s="301"/>
      <c r="V51" s="301"/>
      <c r="W51" s="301"/>
      <c r="X51" s="301"/>
      <c r="Y51" s="301"/>
      <c r="Z51" s="301"/>
      <c r="AA51" s="301"/>
      <c r="AB51" s="301"/>
      <c r="AC51" s="301"/>
      <c r="AD51" s="301"/>
      <c r="AE51" s="301"/>
      <c r="AF51" s="301"/>
      <c r="AG51" s="301"/>
      <c r="AH51" s="301"/>
      <c r="AI51" s="301"/>
      <c r="AJ51" s="301"/>
      <c r="AK51" s="301"/>
      <c r="AL51" s="259"/>
      <c r="AM51" s="4058"/>
      <c r="AO51" s="434"/>
      <c r="AP51" s="434" t="str">
        <f t="shared" si="1"/>
        <v>Добавить вид теплоносителя (параметры теплоносителя)</v>
      </c>
      <c r="AQ51" s="434"/>
      <c r="AR51" s="434"/>
      <c r="AS51" s="1079">
        <v>11</v>
      </c>
    </row>
    <row r="52" spans="1:45" ht="11.45" customHeight="1">
      <c r="A52" s="1287" t="s">
        <v>222</v>
      </c>
      <c r="B52" s="1287" t="s">
        <v>223</v>
      </c>
      <c r="C52" s="1287" t="s">
        <v>224</v>
      </c>
      <c r="D52" s="1287" t="s">
        <v>225</v>
      </c>
      <c r="E52" s="4034"/>
      <c r="F52" s="4034"/>
      <c r="G52" s="4034"/>
      <c r="H52" s="4034"/>
      <c r="I52" s="4035"/>
      <c r="J52" s="1287"/>
      <c r="K52" s="1287"/>
      <c r="L52" s="1288"/>
      <c r="P52" s="4037"/>
      <c r="Q52" s="1144"/>
      <c r="R52" s="290"/>
      <c r="S52" s="1202"/>
      <c r="T52" s="222" t="s">
        <v>620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9">
        <v>11</v>
      </c>
    </row>
    <row r="53" spans="1:45" ht="14.65" customHeight="1">
      <c r="A53" s="1287" t="s">
        <v>222</v>
      </c>
      <c r="B53" s="1287" t="s">
        <v>223</v>
      </c>
      <c r="C53" s="1287" t="s">
        <v>224</v>
      </c>
      <c r="D53" s="1287" t="s">
        <v>225</v>
      </c>
      <c r="E53" s="4034"/>
      <c r="F53" s="4034"/>
      <c r="G53" s="4034"/>
      <c r="H53" s="4033"/>
      <c r="I53" s="1287"/>
      <c r="J53" s="1287"/>
      <c r="K53" s="1287"/>
      <c r="L53" s="1288"/>
      <c r="M53" s="1289"/>
      <c r="N53" s="1289"/>
      <c r="O53" s="471"/>
      <c r="P53" s="294"/>
      <c r="Q53" s="309"/>
      <c r="R53" s="289"/>
      <c r="S53" s="1202"/>
      <c r="T53" s="299" t="s">
        <v>621</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9">
        <v>14</v>
      </c>
    </row>
    <row r="54" spans="1:45" s="1566" customFormat="1" ht="1.1499999999999999" customHeight="1">
      <c r="A54" s="1267" t="s">
        <v>222</v>
      </c>
      <c r="B54" s="1267" t="s">
        <v>223</v>
      </c>
      <c r="C54" s="1267" t="s">
        <v>224</v>
      </c>
      <c r="D54" s="1238"/>
      <c r="E54" s="4034"/>
      <c r="F54" s="4034"/>
      <c r="G54" s="4033"/>
      <c r="H54" s="1238"/>
      <c r="I54" s="1238"/>
      <c r="J54" s="1238"/>
      <c r="K54" s="1238"/>
      <c r="L54" s="1263"/>
      <c r="M54" s="1239"/>
      <c r="N54" s="1239"/>
      <c r="P54" s="1240"/>
      <c r="Q54" s="1241"/>
      <c r="R54" s="1240"/>
      <c r="S54" s="1246"/>
      <c r="T54" s="1249" t="s">
        <v>235</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2">
        <v>1</v>
      </c>
    </row>
    <row r="55" spans="1:45" s="1566" customFormat="1" ht="1.1499999999999999" customHeight="1">
      <c r="A55" s="1267" t="s">
        <v>222</v>
      </c>
      <c r="B55" s="1267" t="s">
        <v>223</v>
      </c>
      <c r="C55" s="1238"/>
      <c r="D55" s="1238"/>
      <c r="E55" s="4034"/>
      <c r="F55" s="4033"/>
      <c r="G55" s="1238"/>
      <c r="H55" s="1238"/>
      <c r="I55" s="1238"/>
      <c r="J55" s="1238"/>
      <c r="K55" s="1238"/>
      <c r="L55" s="1263"/>
      <c r="M55" s="1245"/>
      <c r="N55" s="1245"/>
      <c r="P55" s="1240"/>
      <c r="Q55" s="1241"/>
      <c r="R55" s="1240"/>
      <c r="S55" s="1246"/>
      <c r="T55" s="1249" t="s">
        <v>236</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2">
        <v>1</v>
      </c>
    </row>
    <row r="56" spans="1:45" s="1566" customFormat="1" ht="1.1499999999999999" customHeight="1">
      <c r="A56" s="1267" t="s">
        <v>222</v>
      </c>
      <c r="B56" s="1267"/>
      <c r="C56" s="1267"/>
      <c r="D56" s="1267"/>
      <c r="E56" s="4033"/>
      <c r="F56" s="1267"/>
      <c r="G56" s="1267"/>
      <c r="H56" s="1267"/>
      <c r="I56" s="1267"/>
      <c r="J56" s="1267"/>
      <c r="K56" s="1267"/>
      <c r="L56" s="1270"/>
      <c r="M56" s="1245"/>
      <c r="N56" s="1245"/>
      <c r="O56" s="452"/>
      <c r="P56" s="314"/>
      <c r="Q56" s="1268"/>
      <c r="R56" s="314"/>
      <c r="S56" s="1246"/>
      <c r="T56" s="1249" t="s">
        <v>286</v>
      </c>
      <c r="U56" s="1248"/>
      <c r="V56" s="1248"/>
      <c r="W56" s="1248"/>
      <c r="X56" s="1248"/>
      <c r="Y56" s="1248"/>
      <c r="Z56" s="1248"/>
      <c r="AA56" s="1248"/>
      <c r="AB56" s="1248"/>
      <c r="AC56" s="1248"/>
      <c r="AD56" s="1248"/>
      <c r="AE56" s="1248"/>
      <c r="AF56" s="1248"/>
      <c r="AG56" s="1248"/>
      <c r="AH56" s="1248"/>
      <c r="AI56" s="1248"/>
      <c r="AJ56" s="1248"/>
      <c r="AK56" s="1248"/>
      <c r="AL56" s="1248"/>
      <c r="AM56" s="1248"/>
      <c r="AO56" s="434"/>
      <c r="AP56" s="434" t="str">
        <f t="shared" si="1"/>
        <v>Добавить территорию для дифференциации</v>
      </c>
      <c r="AQ56" s="434"/>
      <c r="AR56" s="434"/>
      <c r="AS56" s="445">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287</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2">
        <v>1</v>
      </c>
    </row>
    <row r="58" spans="1:45" ht="11.45" customHeight="1">
      <c r="M58" s="1084"/>
      <c r="N58" s="1084"/>
      <c r="O58" s="471"/>
      <c r="P58" s="1079"/>
      <c r="Q58" s="1079"/>
      <c r="R58" s="1079"/>
      <c r="S58" s="1079"/>
      <c r="AN58" s="1079"/>
      <c r="AO58" s="1079"/>
      <c r="AP58" s="1079"/>
      <c r="AQ58" s="1079"/>
      <c r="AR58" s="1079"/>
      <c r="AS58" s="1079">
        <v>11</v>
      </c>
    </row>
    <row r="59" spans="1:45" ht="28.5" customHeight="1">
      <c r="O59" s="471"/>
      <c r="S59" s="1177"/>
      <c r="T59" s="4032"/>
      <c r="U59" s="4032"/>
      <c r="V59" s="4032"/>
      <c r="W59" s="4032"/>
      <c r="X59" s="4032"/>
      <c r="Y59" s="4032"/>
      <c r="Z59" s="4032"/>
      <c r="AA59" s="4032"/>
      <c r="AB59" s="4032"/>
      <c r="AC59" s="4032"/>
      <c r="AD59" s="4032"/>
      <c r="AE59" s="4032"/>
      <c r="AF59" s="4032"/>
      <c r="AG59" s="4032"/>
      <c r="AH59" s="4032"/>
      <c r="AI59" s="4032"/>
      <c r="AJ59" s="4032"/>
      <c r="AK59" s="4032"/>
      <c r="AL59" s="4032"/>
      <c r="AM59" s="4032"/>
      <c r="AS59" s="1079">
        <v>27</v>
      </c>
    </row>
    <row r="60" spans="1:45" ht="67.150000000000006" customHeight="1">
      <c r="O60" s="471"/>
      <c r="P60" s="1227"/>
      <c r="T60" s="4032"/>
      <c r="U60" s="4032"/>
      <c r="V60" s="4032"/>
      <c r="W60" s="4032"/>
      <c r="X60" s="4032"/>
      <c r="Y60" s="4032"/>
      <c r="Z60" s="4032"/>
      <c r="AA60" s="4032"/>
      <c r="AB60" s="4032"/>
      <c r="AC60" s="4032"/>
      <c r="AD60" s="4032"/>
      <c r="AE60" s="4032"/>
      <c r="AF60" s="4032"/>
      <c r="AG60" s="4032"/>
      <c r="AH60" s="4032"/>
      <c r="AI60" s="4032"/>
      <c r="AJ60" s="4032"/>
      <c r="AK60" s="4032"/>
      <c r="AL60" s="4032"/>
      <c r="AM60" s="4032"/>
      <c r="AS60" s="1079">
        <v>64</v>
      </c>
    </row>
    <row r="61" spans="1:45" ht="14.65" customHeight="1">
      <c r="O61" s="471"/>
      <c r="AS61" s="1079">
        <v>14</v>
      </c>
    </row>
    <row r="62" spans="1:45" ht="18.75" customHeight="1">
      <c r="O62" s="471"/>
      <c r="P62" s="1252"/>
      <c r="S62" s="1177"/>
      <c r="T62" s="4032"/>
      <c r="U62" s="4032"/>
      <c r="V62" s="4032"/>
      <c r="W62" s="4032"/>
      <c r="X62" s="4032"/>
      <c r="Y62" s="4032"/>
      <c r="Z62" s="4032"/>
      <c r="AA62" s="4032"/>
      <c r="AB62" s="4032"/>
      <c r="AC62" s="4032"/>
      <c r="AD62" s="4032"/>
      <c r="AE62" s="4032"/>
      <c r="AF62" s="4032"/>
      <c r="AG62" s="4032"/>
      <c r="AH62" s="4032"/>
      <c r="AI62" s="4032"/>
      <c r="AJ62" s="4032"/>
      <c r="AK62" s="4032"/>
      <c r="AL62" s="4032"/>
      <c r="AM62" s="4032"/>
      <c r="AS62" s="1079">
        <v>18</v>
      </c>
    </row>
    <row r="63" spans="1:45" ht="18.75" customHeight="1">
      <c r="O63" s="471"/>
      <c r="P63" s="1252"/>
      <c r="T63" s="4032"/>
      <c r="U63" s="4032"/>
      <c r="V63" s="4032"/>
      <c r="W63" s="4032"/>
      <c r="X63" s="4032"/>
      <c r="Y63" s="4032"/>
      <c r="Z63" s="4032"/>
      <c r="AA63" s="4032"/>
      <c r="AB63" s="4032"/>
      <c r="AC63" s="4032"/>
      <c r="AD63" s="4032"/>
      <c r="AE63" s="4032"/>
      <c r="AF63" s="4032"/>
      <c r="AG63" s="4032"/>
      <c r="AH63" s="4032"/>
      <c r="AI63" s="4032"/>
      <c r="AJ63" s="4032"/>
      <c r="AK63" s="4032"/>
      <c r="AL63" s="4032"/>
      <c r="AM63" s="4032"/>
      <c r="AS63" s="1079">
        <v>18</v>
      </c>
    </row>
    <row r="64" spans="1:45" ht="29.25" customHeight="1">
      <c r="O64" s="471"/>
      <c r="P64" s="1252"/>
      <c r="S64" s="1177"/>
      <c r="T64" s="4032"/>
      <c r="U64" s="4032"/>
      <c r="V64" s="4032"/>
      <c r="W64" s="4032"/>
      <c r="X64" s="4032"/>
      <c r="Y64" s="4032"/>
      <c r="Z64" s="4032"/>
      <c r="AA64" s="4032"/>
      <c r="AB64" s="4032"/>
      <c r="AC64" s="4032"/>
      <c r="AD64" s="4032"/>
      <c r="AE64" s="4032"/>
      <c r="AF64" s="4032"/>
      <c r="AG64" s="4032"/>
      <c r="AH64" s="4032"/>
      <c r="AI64" s="4032"/>
      <c r="AJ64" s="4032"/>
      <c r="AK64" s="4032"/>
      <c r="AL64" s="4032"/>
      <c r="AM64" s="4032"/>
      <c r="AS64" s="1079">
        <v>28</v>
      </c>
    </row>
    <row r="65" spans="1:45" ht="22.5" hidden="1" customHeight="1">
      <c r="A65" s="1084" t="s">
        <v>69</v>
      </c>
      <c r="B65" s="1084">
        <v>0</v>
      </c>
      <c r="C65" s="1084">
        <v>0</v>
      </c>
      <c r="D65" s="1084">
        <v>0</v>
      </c>
      <c r="E65" s="1084">
        <v>0</v>
      </c>
      <c r="F65" s="1084">
        <v>0</v>
      </c>
      <c r="G65" s="1084">
        <v>0</v>
      </c>
      <c r="H65" s="1084">
        <v>0</v>
      </c>
      <c r="I65" s="1084">
        <v>0</v>
      </c>
      <c r="J65" s="1084">
        <v>0</v>
      </c>
      <c r="K65" s="1084">
        <v>0</v>
      </c>
      <c r="L65" s="1253">
        <v>0</v>
      </c>
      <c r="M65" s="1286">
        <v>0</v>
      </c>
      <c r="N65" s="1286">
        <v>0</v>
      </c>
      <c r="O65" s="1286">
        <v>0</v>
      </c>
      <c r="P65" s="1142">
        <v>3</v>
      </c>
      <c r="Q65" s="279">
        <v>3</v>
      </c>
      <c r="R65" s="279">
        <v>3</v>
      </c>
      <c r="S65" s="515">
        <v>12</v>
      </c>
      <c r="T65" s="1079">
        <v>35</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5">
        <v>10</v>
      </c>
      <c r="AO65" s="445">
        <v>10</v>
      </c>
      <c r="AP65" s="445">
        <v>10</v>
      </c>
      <c r="AQ65" s="445">
        <v>10</v>
      </c>
      <c r="AR65" s="445">
        <v>10</v>
      </c>
      <c r="AS65" s="1079">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215"/>
  <sheetViews>
    <sheetView showGridLines="0" tabSelected="1" zoomScale="90" workbookViewId="0">
      <pane xSplit="29" ySplit="42" topLeftCell="AD106" activePane="bottomRight" state="frozen"/>
      <selection pane="topRight" activeCell="AD1" sqref="AD1"/>
      <selection pane="bottomLeft" activeCell="A43" sqref="A43"/>
      <selection pane="bottomRight" activeCell="AF201" sqref="AF201"/>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2"/>
      <c r="Z1" s="262"/>
      <c r="AG1" s="262"/>
      <c r="AH1" s="262"/>
      <c r="AS1" s="1079" t="s">
        <v>1</v>
      </c>
    </row>
    <row r="2" spans="1:45" ht="21" hidden="1" customHeight="1">
      <c r="A2" s="1287"/>
      <c r="B2" s="1287"/>
      <c r="C2" s="1287"/>
      <c r="D2" s="1287"/>
      <c r="E2" s="4033">
        <v>1</v>
      </c>
      <c r="F2" s="1287"/>
      <c r="G2" s="1287"/>
      <c r="H2" s="1287"/>
      <c r="I2" s="1287"/>
      <c r="J2" s="1287"/>
      <c r="K2" s="1287"/>
      <c r="L2" s="1288"/>
      <c r="M2" s="1289"/>
      <c r="N2" s="1289"/>
      <c r="O2" s="1289"/>
      <c r="P2" s="295"/>
      <c r="Q2" s="294"/>
      <c r="R2" s="289"/>
      <c r="S2" s="1260" t="e">
        <f>INDEX(PT_DIFFERENTIATION_NUM_NTAR,MATCH(A2,PT_DIFFERENTIATION_NTAR_ID,0))</f>
        <v>#N/A</v>
      </c>
      <c r="T2" s="233" t="s">
        <v>195</v>
      </c>
      <c r="U2" s="235"/>
      <c r="V2" s="4027"/>
      <c r="W2" s="4028"/>
      <c r="X2" s="4028"/>
      <c r="Y2" s="4028"/>
      <c r="Z2" s="4028"/>
      <c r="AA2" s="4028"/>
      <c r="AB2" s="4028"/>
      <c r="AC2" s="4029"/>
      <c r="AD2" s="4027" t="e">
        <f>INDEX(PT_DIFFERENTIATION_NTAR,MATCH(A2,PT_DIFFERENTIATION_NTAR_ID,0))</f>
        <v>#N/A</v>
      </c>
      <c r="AE2" s="4028"/>
      <c r="AF2" s="4028"/>
      <c r="AG2" s="4028"/>
      <c r="AH2" s="4028"/>
      <c r="AI2" s="4028"/>
      <c r="AJ2" s="4028"/>
      <c r="AK2" s="4028"/>
      <c r="AL2" s="4029"/>
      <c r="AM2" s="1182" t="s">
        <v>604</v>
      </c>
      <c r="AO2" s="434"/>
      <c r="AP2" s="434" t="str">
        <f t="shared" ref="AP2:AP15" si="0">IF(T2="","",T2)</f>
        <v>Наименование тарифа</v>
      </c>
      <c r="AQ2" s="434"/>
      <c r="AR2" s="434"/>
      <c r="AS2" s="1079">
        <v>0</v>
      </c>
    </row>
    <row r="3" spans="1:45" ht="21" hidden="1" customHeight="1">
      <c r="A3" s="1287"/>
      <c r="B3" s="1287"/>
      <c r="C3" s="1287"/>
      <c r="D3" s="1287"/>
      <c r="E3" s="4034"/>
      <c r="F3" s="4033">
        <v>1</v>
      </c>
      <c r="G3" s="1287"/>
      <c r="H3" s="1287"/>
      <c r="I3" s="1287"/>
      <c r="J3" s="1287"/>
      <c r="K3" s="1287"/>
      <c r="L3" s="1288"/>
      <c r="M3" s="1289"/>
      <c r="N3" s="1289"/>
      <c r="O3" s="1289"/>
      <c r="P3" s="1256"/>
      <c r="Q3" s="286"/>
      <c r="R3" s="287"/>
      <c r="S3" s="1260" t="e">
        <f>INDEX(PT_DIFFERENTIATION_NUM_TER,MATCH(B3,PT_DIFFERENTIATION_TER_ID,0))</f>
        <v>#N/A</v>
      </c>
      <c r="T3" s="243" t="s">
        <v>605</v>
      </c>
      <c r="U3" s="235"/>
      <c r="V3" s="4027"/>
      <c r="W3" s="4028"/>
      <c r="X3" s="4028"/>
      <c r="Y3" s="4028"/>
      <c r="Z3" s="4028"/>
      <c r="AA3" s="4028"/>
      <c r="AB3" s="4028"/>
      <c r="AC3" s="4029"/>
      <c r="AD3" s="4027" t="e">
        <f>INDEX(PT_DIFFERENTIATION_TER,MATCH(B3,PT_DIFFERENTIATION_TER_ID,0))</f>
        <v>#N/A</v>
      </c>
      <c r="AE3" s="4028"/>
      <c r="AF3" s="4028"/>
      <c r="AG3" s="4028"/>
      <c r="AH3" s="4028"/>
      <c r="AI3" s="4028"/>
      <c r="AJ3" s="4028"/>
      <c r="AK3" s="4028"/>
      <c r="AL3" s="4029"/>
      <c r="AM3" s="1182" t="s">
        <v>606</v>
      </c>
      <c r="AO3" s="434"/>
      <c r="AP3" s="434" t="str">
        <f t="shared" si="0"/>
        <v>Территория действия тарифа</v>
      </c>
      <c r="AQ3" s="434"/>
      <c r="AR3" s="434"/>
      <c r="AS3" s="1079">
        <v>0</v>
      </c>
    </row>
    <row r="4" spans="1:45" ht="23.25" hidden="1" customHeight="1">
      <c r="A4" s="1287"/>
      <c r="B4" s="1287"/>
      <c r="C4" s="1287"/>
      <c r="D4" s="1287"/>
      <c r="E4" s="4034"/>
      <c r="F4" s="4034"/>
      <c r="G4" s="4033">
        <v>1</v>
      </c>
      <c r="H4" s="1287"/>
      <c r="I4" s="1287"/>
      <c r="J4" s="1287"/>
      <c r="K4" s="1287"/>
      <c r="L4" s="1288"/>
      <c r="M4" s="1289"/>
      <c r="N4" s="1289"/>
      <c r="O4" s="1289"/>
      <c r="P4" s="288"/>
      <c r="Q4" s="286"/>
      <c r="R4" s="287"/>
      <c r="S4" s="1260" t="e">
        <f>INDEX(PT_DIFFERENTIATION_NUM_CS,MATCH(C4,PT_DIFFERENTIATION_CS_ID,0))</f>
        <v>#N/A</v>
      </c>
      <c r="T4" s="244" t="s">
        <v>607</v>
      </c>
      <c r="U4" s="235"/>
      <c r="V4" s="4027"/>
      <c r="W4" s="4028"/>
      <c r="X4" s="4028"/>
      <c r="Y4" s="4028"/>
      <c r="Z4" s="4028"/>
      <c r="AA4" s="4028"/>
      <c r="AB4" s="4028"/>
      <c r="AC4" s="4029"/>
      <c r="AD4" s="4027" t="e">
        <f>INDEX(PT_DIFFERENTIATION_CS,MATCH(C4,PT_DIFFERENTIATION_CS_ID,0))</f>
        <v>#N/A</v>
      </c>
      <c r="AE4" s="4028"/>
      <c r="AF4" s="4028"/>
      <c r="AG4" s="4028"/>
      <c r="AH4" s="4028"/>
      <c r="AI4" s="4028"/>
      <c r="AJ4" s="4028"/>
      <c r="AK4" s="4028"/>
      <c r="AL4" s="4029"/>
      <c r="AM4" s="1182" t="s">
        <v>608</v>
      </c>
      <c r="AO4" s="434"/>
      <c r="AP4" s="434" t="str">
        <f t="shared" si="0"/>
        <v xml:space="preserve">Наименование системы теплоснабжения </v>
      </c>
      <c r="AQ4" s="434"/>
      <c r="AR4" s="434"/>
      <c r="AS4" s="1079">
        <v>0</v>
      </c>
    </row>
    <row r="5" spans="1:45" ht="21" hidden="1" customHeight="1">
      <c r="A5" s="1287"/>
      <c r="B5" s="1287"/>
      <c r="C5" s="1287"/>
      <c r="D5" s="1287"/>
      <c r="E5" s="4034"/>
      <c r="F5" s="4034"/>
      <c r="G5" s="4034"/>
      <c r="H5" s="4033">
        <v>1</v>
      </c>
      <c r="I5" s="1287"/>
      <c r="J5" s="1287"/>
      <c r="K5" s="1287"/>
      <c r="L5" s="1288"/>
      <c r="M5" s="1289"/>
      <c r="N5" s="1289"/>
      <c r="O5" s="1289"/>
      <c r="P5" s="288"/>
      <c r="Q5" s="286"/>
      <c r="R5" s="287"/>
      <c r="S5" s="1260" t="e">
        <f>INDEX(PT_DIFFERENTIATION_NUM_IST_TE,MATCH(D5,PT_DIFFERENTIATION_IST_TE_ID,0))</f>
        <v>#N/A</v>
      </c>
      <c r="T5" s="245" t="s">
        <v>609</v>
      </c>
      <c r="U5" s="235"/>
      <c r="V5" s="4027"/>
      <c r="W5" s="4028"/>
      <c r="X5" s="4028"/>
      <c r="Y5" s="4028"/>
      <c r="Z5" s="4028"/>
      <c r="AA5" s="4028"/>
      <c r="AB5" s="4028"/>
      <c r="AC5" s="4029"/>
      <c r="AD5" s="4027" t="e">
        <f>INDEX(PT_DIFFERENTIATION_IST_TE,MATCH(D5,PT_DIFFERENTIATION_IST_TE_ID,0))</f>
        <v>#N/A</v>
      </c>
      <c r="AE5" s="4028"/>
      <c r="AF5" s="4028"/>
      <c r="AG5" s="4028"/>
      <c r="AH5" s="4028"/>
      <c r="AI5" s="4028"/>
      <c r="AJ5" s="4028"/>
      <c r="AK5" s="4028"/>
      <c r="AL5" s="4029"/>
      <c r="AM5" s="1182" t="s">
        <v>610</v>
      </c>
      <c r="AO5" s="434"/>
      <c r="AP5" s="434" t="str">
        <f t="shared" si="0"/>
        <v xml:space="preserve">Источник тепловой энергии  </v>
      </c>
      <c r="AQ5" s="434"/>
      <c r="AR5" s="434"/>
      <c r="AS5" s="1079">
        <v>0</v>
      </c>
    </row>
    <row r="6" spans="1:45" ht="47.25" hidden="1" customHeight="1">
      <c r="A6" s="1287"/>
      <c r="B6" s="1287"/>
      <c r="C6" s="1287"/>
      <c r="D6" s="1287"/>
      <c r="E6" s="4034"/>
      <c r="F6" s="4034"/>
      <c r="G6" s="4034"/>
      <c r="H6" s="4034"/>
      <c r="I6" s="4035" t="e">
        <f>S5&amp;".1"</f>
        <v>#N/A</v>
      </c>
      <c r="J6" s="1287"/>
      <c r="K6" s="1287"/>
      <c r="L6" s="1288" t="s">
        <v>611</v>
      </c>
      <c r="M6" s="471"/>
      <c r="P6" s="4037">
        <v>1</v>
      </c>
      <c r="Q6" s="1255"/>
      <c r="R6" s="290"/>
      <c r="S6" s="1260" t="e">
        <f>$I6</f>
        <v>#N/A</v>
      </c>
      <c r="T6" s="220" t="s">
        <v>612</v>
      </c>
      <c r="U6" s="235"/>
      <c r="V6" s="4021"/>
      <c r="W6" s="4022"/>
      <c r="X6" s="4022"/>
      <c r="Y6" s="4022"/>
      <c r="Z6" s="4022"/>
      <c r="AA6" s="4022"/>
      <c r="AB6" s="4022"/>
      <c r="AC6" s="4023"/>
      <c r="AD6" s="4021"/>
      <c r="AE6" s="4022"/>
      <c r="AF6" s="4022"/>
      <c r="AG6" s="4022"/>
      <c r="AH6" s="4022"/>
      <c r="AI6" s="4022"/>
      <c r="AJ6" s="4022"/>
      <c r="AK6" s="4022"/>
      <c r="AL6" s="4023"/>
      <c r="AM6" s="1182" t="s">
        <v>613</v>
      </c>
      <c r="AO6" s="434"/>
      <c r="AP6" s="434" t="str">
        <f t="shared" si="0"/>
        <v>Схема подключения теплопотребляющей установки к коллектору источника тепловой энергии</v>
      </c>
      <c r="AQ6" s="434"/>
      <c r="AR6" s="434"/>
      <c r="AS6" s="1079">
        <v>0</v>
      </c>
    </row>
    <row r="7" spans="1:45" ht="21" hidden="1" customHeight="1">
      <c r="A7" s="1287"/>
      <c r="B7" s="1287"/>
      <c r="C7" s="1287"/>
      <c r="D7" s="1287"/>
      <c r="E7" s="4034"/>
      <c r="F7" s="4034"/>
      <c r="G7" s="4034"/>
      <c r="H7" s="4034"/>
      <c r="I7" s="4036"/>
      <c r="J7" s="4035" t="e">
        <f>I6&amp;".1"</f>
        <v>#N/A</v>
      </c>
      <c r="K7" s="1287"/>
      <c r="L7" s="1288" t="s">
        <v>614</v>
      </c>
      <c r="M7" s="471"/>
      <c r="N7" s="1290"/>
      <c r="P7" s="4037"/>
      <c r="Q7" s="4037">
        <v>1</v>
      </c>
      <c r="R7" s="291"/>
      <c r="S7" s="1260" t="e">
        <f>$J7</f>
        <v>#N/A</v>
      </c>
      <c r="T7" s="221" t="s">
        <v>615</v>
      </c>
      <c r="U7" s="235"/>
      <c r="V7" s="4021"/>
      <c r="W7" s="4022"/>
      <c r="X7" s="4022"/>
      <c r="Y7" s="4022"/>
      <c r="Z7" s="4022"/>
      <c r="AA7" s="4022"/>
      <c r="AB7" s="4022"/>
      <c r="AC7" s="4023"/>
      <c r="AD7" s="4021"/>
      <c r="AE7" s="4022"/>
      <c r="AF7" s="4022"/>
      <c r="AG7" s="4022"/>
      <c r="AH7" s="4022"/>
      <c r="AI7" s="4022"/>
      <c r="AJ7" s="4022"/>
      <c r="AK7" s="4022"/>
      <c r="AL7" s="4023"/>
      <c r="AM7" s="1182" t="s">
        <v>616</v>
      </c>
      <c r="AO7" s="434"/>
      <c r="AP7" s="434" t="str">
        <f t="shared" si="0"/>
        <v>Группа потребителей</v>
      </c>
      <c r="AQ7" s="434"/>
      <c r="AR7" s="434"/>
      <c r="AS7" s="1079">
        <v>0</v>
      </c>
    </row>
    <row r="8" spans="1:45" ht="21" hidden="1" customHeight="1">
      <c r="A8" s="1287"/>
      <c r="B8" s="1287"/>
      <c r="C8" s="1287"/>
      <c r="D8" s="1287"/>
      <c r="E8" s="4034"/>
      <c r="F8" s="4034"/>
      <c r="G8" s="4034"/>
      <c r="H8" s="4034"/>
      <c r="I8" s="4036"/>
      <c r="J8" s="4036"/>
      <c r="K8" s="4035" t="e">
        <f>J7&amp;".1"</f>
        <v>#N/A</v>
      </c>
      <c r="L8" s="1288" t="s">
        <v>617</v>
      </c>
      <c r="M8" s="471"/>
      <c r="N8" s="1290"/>
      <c r="O8" s="1290"/>
      <c r="P8" s="4037"/>
      <c r="Q8" s="4037"/>
      <c r="R8" s="291">
        <v>1</v>
      </c>
      <c r="S8" s="1260" t="e">
        <f>$K8</f>
        <v>#N/A</v>
      </c>
      <c r="T8" s="1271"/>
      <c r="U8" s="235"/>
      <c r="V8" s="685"/>
      <c r="W8" s="260"/>
      <c r="X8" s="685"/>
      <c r="Y8" s="1181"/>
      <c r="Z8" s="4038"/>
      <c r="AA8" s="3899" t="s">
        <v>53</v>
      </c>
      <c r="AB8" s="4038"/>
      <c r="AC8" s="3899" t="s">
        <v>53</v>
      </c>
      <c r="AD8" s="685"/>
      <c r="AE8" s="260"/>
      <c r="AF8" s="685"/>
      <c r="AG8" s="1181"/>
      <c r="AH8" s="4038"/>
      <c r="AI8" s="3899" t="s">
        <v>53</v>
      </c>
      <c r="AJ8" s="4038"/>
      <c r="AK8" s="3899" t="s">
        <v>53</v>
      </c>
      <c r="AL8" s="260"/>
      <c r="AM8" s="4056" t="s">
        <v>618</v>
      </c>
      <c r="AN8" s="445" t="e">
        <f ca="1">STRCHECKDATE(V9:AL9)</f>
        <v>#NAME?</v>
      </c>
      <c r="AO8" s="434"/>
      <c r="AP8" s="434" t="str">
        <f t="shared" si="0"/>
        <v/>
      </c>
      <c r="AQ8" s="434"/>
      <c r="AR8" s="434"/>
      <c r="AS8" s="1079">
        <v>0</v>
      </c>
    </row>
    <row r="9" spans="1:45" ht="0.75" hidden="1" customHeight="1">
      <c r="A9" s="1287"/>
      <c r="B9" s="1287"/>
      <c r="C9" s="1287"/>
      <c r="D9" s="1287"/>
      <c r="E9" s="4034"/>
      <c r="F9" s="4034"/>
      <c r="G9" s="4034"/>
      <c r="H9" s="4034"/>
      <c r="I9" s="4036"/>
      <c r="J9" s="4036"/>
      <c r="K9" s="4035"/>
      <c r="L9" s="1288"/>
      <c r="M9" s="471"/>
      <c r="N9" s="1290"/>
      <c r="O9" s="1290"/>
      <c r="P9" s="4037"/>
      <c r="Q9" s="4037"/>
      <c r="R9" s="291"/>
      <c r="S9" s="1266"/>
      <c r="T9" s="235"/>
      <c r="U9" s="235"/>
      <c r="V9" s="260"/>
      <c r="W9" s="260"/>
      <c r="X9" s="260"/>
      <c r="Y9" s="263" t="str">
        <f>Z8&amp;"-"&amp;AB8</f>
        <v>-</v>
      </c>
      <c r="Z9" s="4039"/>
      <c r="AA9" s="3899"/>
      <c r="AB9" s="4039"/>
      <c r="AC9" s="3899"/>
      <c r="AD9" s="260"/>
      <c r="AE9" s="260"/>
      <c r="AF9" s="260"/>
      <c r="AG9" s="263" t="str">
        <f>AH8&amp;"-"&amp;AJ8</f>
        <v>-</v>
      </c>
      <c r="AH9" s="4039"/>
      <c r="AI9" s="3899"/>
      <c r="AJ9" s="4039"/>
      <c r="AK9" s="3899"/>
      <c r="AL9" s="260"/>
      <c r="AM9" s="4057"/>
      <c r="AO9" s="434"/>
      <c r="AP9" s="434" t="str">
        <f t="shared" si="0"/>
        <v/>
      </c>
      <c r="AQ9" s="434"/>
      <c r="AR9" s="434"/>
      <c r="AS9" s="1079">
        <v>0</v>
      </c>
    </row>
    <row r="10" spans="1:45" ht="15" hidden="1" customHeight="1">
      <c r="A10" s="1287"/>
      <c r="B10" s="1287"/>
      <c r="C10" s="1287"/>
      <c r="D10" s="1287"/>
      <c r="E10" s="4034"/>
      <c r="F10" s="4034"/>
      <c r="G10" s="4034"/>
      <c r="H10" s="4034"/>
      <c r="I10" s="4036"/>
      <c r="J10" s="4035"/>
      <c r="K10" s="1287"/>
      <c r="L10" s="1288"/>
      <c r="M10" s="471"/>
      <c r="N10" s="1290"/>
      <c r="P10" s="4037"/>
      <c r="Q10" s="4037"/>
      <c r="R10" s="290"/>
      <c r="S10" s="1202"/>
      <c r="T10" s="223" t="s">
        <v>619</v>
      </c>
      <c r="U10" s="301"/>
      <c r="V10" s="301"/>
      <c r="W10" s="301"/>
      <c r="X10" s="301"/>
      <c r="Y10" s="301"/>
      <c r="Z10" s="301"/>
      <c r="AA10" s="301"/>
      <c r="AB10" s="301"/>
      <c r="AC10" s="301"/>
      <c r="AD10" s="301"/>
      <c r="AE10" s="301"/>
      <c r="AF10" s="301"/>
      <c r="AG10" s="301"/>
      <c r="AH10" s="301"/>
      <c r="AI10" s="301"/>
      <c r="AJ10" s="301"/>
      <c r="AK10" s="301"/>
      <c r="AL10" s="259"/>
      <c r="AM10" s="4058"/>
      <c r="AO10" s="434"/>
      <c r="AP10" s="434" t="str">
        <f t="shared" si="0"/>
        <v>Добавить вид теплоносителя (параметры теплоносителя)</v>
      </c>
      <c r="AQ10" s="434"/>
      <c r="AR10" s="434"/>
      <c r="AS10" s="1079">
        <v>0</v>
      </c>
    </row>
    <row r="11" spans="1:45" ht="15" hidden="1" customHeight="1">
      <c r="A11" s="1287"/>
      <c r="B11" s="1287"/>
      <c r="C11" s="1287"/>
      <c r="D11" s="1287"/>
      <c r="E11" s="4034"/>
      <c r="F11" s="4034"/>
      <c r="G11" s="4034"/>
      <c r="H11" s="4034"/>
      <c r="I11" s="4035"/>
      <c r="J11" s="1287"/>
      <c r="K11" s="1287"/>
      <c r="L11" s="1288"/>
      <c r="M11" s="471"/>
      <c r="P11" s="4037"/>
      <c r="Q11" s="1255"/>
      <c r="R11" s="290"/>
      <c r="S11" s="1202"/>
      <c r="T11" s="222" t="s">
        <v>620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9">
        <v>0</v>
      </c>
    </row>
    <row r="12" spans="1:45" ht="14.25" hidden="1" customHeight="1">
      <c r="A12" s="1287"/>
      <c r="B12" s="1287"/>
      <c r="C12" s="1287"/>
      <c r="D12" s="1287"/>
      <c r="E12" s="4034"/>
      <c r="F12" s="4034"/>
      <c r="G12" s="4034"/>
      <c r="H12" s="4033"/>
      <c r="I12" s="1287"/>
      <c r="J12" s="1287"/>
      <c r="K12" s="1287"/>
      <c r="L12" s="1288"/>
      <c r="M12" s="1289"/>
      <c r="N12" s="1289"/>
      <c r="O12" s="471"/>
      <c r="P12" s="294"/>
      <c r="Q12" s="309"/>
      <c r="R12" s="289"/>
      <c r="S12" s="1202"/>
      <c r="T12" s="299" t="s">
        <v>621</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9">
        <v>0</v>
      </c>
    </row>
    <row r="13" spans="1:45" s="1566" customFormat="1" ht="0.75" hidden="1" customHeight="1">
      <c r="A13" s="1238"/>
      <c r="B13" s="1238"/>
      <c r="C13" s="1238"/>
      <c r="D13" s="1238"/>
      <c r="E13" s="4034"/>
      <c r="F13" s="4034"/>
      <c r="G13" s="4033"/>
      <c r="H13" s="1238"/>
      <c r="I13" s="1238"/>
      <c r="J13" s="1238"/>
      <c r="K13" s="1238"/>
      <c r="L13" s="1263"/>
      <c r="M13" s="1239"/>
      <c r="N13" s="1239"/>
      <c r="P13" s="1240"/>
      <c r="Q13" s="1241"/>
      <c r="R13" s="1240"/>
      <c r="S13" s="1242"/>
      <c r="T13" s="1243" t="s">
        <v>235</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2">
        <v>0</v>
      </c>
    </row>
    <row r="14" spans="1:45" s="1566" customFormat="1" ht="0.75" hidden="1" customHeight="1">
      <c r="A14" s="1238"/>
      <c r="B14" s="1238"/>
      <c r="C14" s="1238"/>
      <c r="D14" s="1238"/>
      <c r="E14" s="4034"/>
      <c r="F14" s="4033"/>
      <c r="G14" s="1238"/>
      <c r="H14" s="1238"/>
      <c r="I14" s="1238"/>
      <c r="J14" s="1238"/>
      <c r="K14" s="1238"/>
      <c r="L14" s="1263"/>
      <c r="M14" s="1245"/>
      <c r="N14" s="1245"/>
      <c r="P14" s="1240"/>
      <c r="Q14" s="1241"/>
      <c r="R14" s="1240"/>
      <c r="S14" s="1246"/>
      <c r="T14" s="1247" t="s">
        <v>236</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2">
        <v>0</v>
      </c>
    </row>
    <row r="15" spans="1:45" s="1566" customFormat="1" ht="0.75" hidden="1" customHeight="1">
      <c r="A15" s="1238"/>
      <c r="B15" s="1238"/>
      <c r="C15" s="1238"/>
      <c r="D15" s="1238"/>
      <c r="E15" s="4033"/>
      <c r="F15" s="1238"/>
      <c r="G15" s="1238"/>
      <c r="H15" s="1238"/>
      <c r="I15" s="1238"/>
      <c r="J15" s="1238"/>
      <c r="K15" s="1238"/>
      <c r="L15" s="1263"/>
      <c r="M15" s="1245"/>
      <c r="N15" s="1245"/>
      <c r="P15" s="1240"/>
      <c r="Q15" s="1241"/>
      <c r="R15" s="1240"/>
      <c r="S15" s="1246"/>
      <c r="T15" s="1249" t="s">
        <v>286</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2">
        <v>0</v>
      </c>
    </row>
    <row r="16" spans="1:45" ht="14.25" hidden="1" customHeight="1">
      <c r="AC16" s="262"/>
      <c r="AK16" s="262"/>
      <c r="AS16" s="1079">
        <v>0</v>
      </c>
    </row>
    <row r="17" spans="1:45" ht="14.25" hidden="1" customHeight="1">
      <c r="AD17" s="1284"/>
      <c r="AE17" s="1284"/>
      <c r="AF17" s="1284"/>
      <c r="AG17" s="1285"/>
      <c r="AH17" s="4031"/>
      <c r="AI17" s="4030" t="s">
        <v>53</v>
      </c>
      <c r="AJ17" s="4031"/>
      <c r="AK17" s="4030" t="s">
        <v>53</v>
      </c>
      <c r="AS17" s="1079">
        <v>0</v>
      </c>
    </row>
    <row r="18" spans="1:45" ht="14.25" hidden="1" customHeight="1">
      <c r="AD18" s="1284"/>
      <c r="AE18" s="1284"/>
      <c r="AF18" s="1284"/>
      <c r="AG18" s="263" t="str">
        <f>AH17&amp;"-"&amp;AJ17</f>
        <v>-</v>
      </c>
      <c r="AH18" s="4030"/>
      <c r="AI18" s="4030"/>
      <c r="AJ18" s="4030"/>
      <c r="AK18" s="4030"/>
      <c r="AS18" s="1079">
        <v>0</v>
      </c>
    </row>
    <row r="19" spans="1:45" ht="14.25" hidden="1" customHeight="1">
      <c r="AK19" s="262"/>
      <c r="AS19" s="1079">
        <v>0</v>
      </c>
    </row>
    <row r="20" spans="1:45" s="1290" customFormat="1" ht="22.5" hidden="1" customHeight="1">
      <c r="L20" s="1253"/>
      <c r="M20" s="1286"/>
      <c r="N20" s="1286"/>
      <c r="O20" s="1291" t="s">
        <v>622</v>
      </c>
      <c r="P20" s="1286"/>
      <c r="Q20" s="1295"/>
      <c r="R20" s="1295"/>
      <c r="S20" s="663"/>
      <c r="Z20" s="1291"/>
      <c r="AB20" s="1291"/>
      <c r="AH20" s="1291"/>
      <c r="AJ20" s="1291"/>
      <c r="AN20" s="445"/>
      <c r="AO20" s="445"/>
      <c r="AP20" s="445"/>
      <c r="AQ20" s="445"/>
      <c r="AR20" s="445"/>
      <c r="AS20" s="1084">
        <v>0</v>
      </c>
    </row>
    <row r="21" spans="1:45" s="1290" customFormat="1" ht="14.25" hidden="1" customHeight="1">
      <c r="L21" s="1253"/>
      <c r="M21" s="1286"/>
      <c r="N21" s="1286"/>
      <c r="O21" s="1286"/>
      <c r="P21" s="1286"/>
      <c r="Q21" s="1295"/>
      <c r="R21" s="1295"/>
      <c r="S21" s="663"/>
      <c r="AN21" s="445"/>
      <c r="AO21" s="445"/>
      <c r="AP21" s="445"/>
      <c r="AQ21" s="445"/>
      <c r="AR21" s="445"/>
      <c r="AS21" s="1084">
        <v>0</v>
      </c>
    </row>
    <row r="22" spans="1:45" s="1290" customFormat="1" ht="14.25" hidden="1" customHeight="1">
      <c r="L22" s="1253"/>
      <c r="M22" s="1286"/>
      <c r="N22" s="1286"/>
      <c r="O22" s="1288" t="s">
        <v>623</v>
      </c>
      <c r="P22" s="1286"/>
      <c r="Q22" s="1295"/>
      <c r="R22" s="1295"/>
      <c r="S22" s="663"/>
      <c r="T22" s="1084" t="s">
        <v>624</v>
      </c>
      <c r="AA22" s="121" t="s">
        <v>625</v>
      </c>
      <c r="AC22" s="121" t="s">
        <v>626</v>
      </c>
      <c r="AD22" s="1084" t="s">
        <v>624</v>
      </c>
      <c r="AI22" s="121" t="s">
        <v>627</v>
      </c>
      <c r="AK22" s="121" t="s">
        <v>626</v>
      </c>
      <c r="AN22" s="445"/>
      <c r="AO22" s="445"/>
      <c r="AP22" s="445"/>
      <c r="AQ22" s="445"/>
      <c r="AR22" s="445"/>
      <c r="AS22" s="1084">
        <v>0</v>
      </c>
    </row>
    <row r="23" spans="1:45" ht="14.25" hidden="1" customHeight="1">
      <c r="O23" s="1288"/>
      <c r="AS23" s="1079">
        <v>0</v>
      </c>
    </row>
    <row r="24" spans="1:45" ht="14.25" hidden="1" customHeight="1">
      <c r="O24" s="1288"/>
      <c r="AS24" s="1079">
        <v>0</v>
      </c>
    </row>
    <row r="25" spans="1:45" ht="14.65" customHeight="1">
      <c r="Q25" s="310"/>
      <c r="R25" s="310"/>
      <c r="S25" s="1199"/>
      <c r="T25" s="297"/>
      <c r="U25" s="297"/>
      <c r="V25" s="443"/>
      <c r="W25" s="443"/>
      <c r="X25" s="443"/>
      <c r="Y25" s="443"/>
      <c r="Z25" s="443"/>
      <c r="AA25" s="443"/>
      <c r="AB25" s="443"/>
      <c r="AC25" s="443"/>
      <c r="AD25" s="443"/>
      <c r="AE25" s="443"/>
      <c r="AF25" s="443"/>
      <c r="AG25" s="443"/>
      <c r="AH25" s="443"/>
      <c r="AI25" s="443"/>
      <c r="AJ25" s="443"/>
      <c r="AK25" s="443"/>
      <c r="AS25" s="1079">
        <v>14</v>
      </c>
    </row>
    <row r="26" spans="1:45" ht="14.65" customHeight="1">
      <c r="Q26" s="310"/>
      <c r="R26" s="310"/>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67"/>
      <c r="AS26" s="1079">
        <v>14</v>
      </c>
    </row>
    <row r="27" spans="1:45" ht="14.65" customHeight="1">
      <c r="Q27" s="310"/>
      <c r="R27" s="310"/>
      <c r="S27" s="3987" t="str">
        <f>IF(org=0,"Не определено",org)</f>
        <v>ООО "Смоленскрегионтеплоэнерго"</v>
      </c>
      <c r="T27" s="3987"/>
      <c r="U27" s="3987"/>
      <c r="V27" s="3987"/>
      <c r="W27" s="3987"/>
      <c r="X27" s="3987"/>
      <c r="Y27" s="3987"/>
      <c r="Z27" s="3987"/>
      <c r="AA27" s="3987"/>
      <c r="AB27" s="3987"/>
      <c r="AC27" s="3987"/>
      <c r="AD27" s="3987"/>
      <c r="AE27" s="3987"/>
      <c r="AF27" s="3987"/>
      <c r="AG27" s="3987"/>
      <c r="AH27" s="3987"/>
      <c r="AI27" s="3987"/>
      <c r="AJ27" s="3987"/>
      <c r="AK27" s="1167"/>
      <c r="AS27" s="1079">
        <v>14</v>
      </c>
    </row>
    <row r="28" spans="1:45" ht="14.25" hidden="1" customHeight="1">
      <c r="Q28" s="310"/>
      <c r="R28" s="310"/>
      <c r="S28" s="1199"/>
      <c r="T28" s="297"/>
      <c r="U28" s="297"/>
      <c r="V28" s="257"/>
      <c r="W28" s="257"/>
      <c r="X28" s="257"/>
      <c r="Y28" s="257"/>
      <c r="Z28" s="257"/>
      <c r="AA28" s="257"/>
      <c r="AB28" s="257"/>
      <c r="AC28" s="257"/>
      <c r="AD28" s="257"/>
      <c r="AE28" s="257"/>
      <c r="AF28" s="257"/>
      <c r="AG28" s="257"/>
      <c r="AH28" s="257"/>
      <c r="AI28" s="257"/>
      <c r="AJ28" s="257"/>
      <c r="AK28" s="257"/>
      <c r="AL28" s="443"/>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4024" t="s">
        <v>29</v>
      </c>
      <c r="T29" s="4024"/>
      <c r="U29" s="1296"/>
      <c r="V29" s="4026" t="str">
        <f>IF(TITLE_NAME_OR_PR_CHANGE="",IF(TITLE_NAME_OR_PR="","",TITLE_NAME_OR_PR),TITLE_NAME_OR_PR_CHANGE)</f>
        <v/>
      </c>
      <c r="W29" s="4026"/>
      <c r="X29" s="4026"/>
      <c r="Y29" s="4026"/>
      <c r="Z29" s="4026"/>
      <c r="AA29" s="4026"/>
      <c r="AB29" s="4026"/>
      <c r="AC29" s="261"/>
      <c r="AD29" s="4026" t="str">
        <f>IF(TITLE_NAME_OR_PR_CHANGE="",IF(TITLE_NAME_OR_PR="","",TITLE_NAME_OR_PR),TITLE_NAME_OR_PR_CHANGE)</f>
        <v/>
      </c>
      <c r="AE29" s="4026"/>
      <c r="AF29" s="4026"/>
      <c r="AG29" s="4026"/>
      <c r="AH29" s="4026"/>
      <c r="AI29" s="4026"/>
      <c r="AJ29" s="4026"/>
      <c r="AK29" s="261"/>
      <c r="AL29" s="261"/>
      <c r="AM29" s="215"/>
      <c r="AN29" s="302"/>
      <c r="AO29" s="302"/>
      <c r="AP29" s="302"/>
      <c r="AQ29" s="302"/>
      <c r="AR29" s="302"/>
      <c r="AS29" s="352">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4024" t="s">
        <v>628</v>
      </c>
      <c r="T30" s="4024"/>
      <c r="U30" s="1296"/>
      <c r="V30" s="4025">
        <f>IF(TITLE_DATE_PR_CHANGE="",IF(TITLE_DATE_PR="","",TITLE_DATE_PR),TITLE_DATE_PR_CHANGE)</f>
        <v>45765</v>
      </c>
      <c r="W30" s="4025"/>
      <c r="X30" s="4025"/>
      <c r="Y30" s="4025"/>
      <c r="Z30" s="4025"/>
      <c r="AA30" s="4025"/>
      <c r="AB30" s="4025"/>
      <c r="AC30" s="261"/>
      <c r="AD30" s="4025">
        <f>IF(TITLE_DATE_PR_CHANGE="",IF(TITLE_DATE_PR="","",TITLE_DATE_PR),TITLE_DATE_PR_CHANGE)</f>
        <v>45765</v>
      </c>
      <c r="AE30" s="4025"/>
      <c r="AF30" s="4025"/>
      <c r="AG30" s="4025"/>
      <c r="AH30" s="4025"/>
      <c r="AI30" s="4025"/>
      <c r="AJ30" s="4025"/>
      <c r="AK30" s="261"/>
      <c r="AL30" s="261"/>
      <c r="AM30" s="215"/>
      <c r="AN30" s="302"/>
      <c r="AO30" s="302"/>
      <c r="AP30" s="302"/>
      <c r="AQ30" s="302"/>
      <c r="AR30" s="302"/>
      <c r="AS30" s="352">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4024" t="s">
        <v>629</v>
      </c>
      <c r="T31" s="4024"/>
      <c r="U31" s="1296"/>
      <c r="V31" s="4026" t="str">
        <f>IF(TITLE_NUMBER_PR_CHANGE="",IF(TITLE_NUMBER_PR="","",TITLE_NUMBER_PR),TITLE_NUMBER_PR_CHANGE)</f>
        <v>917</v>
      </c>
      <c r="W31" s="4026"/>
      <c r="X31" s="4026"/>
      <c r="Y31" s="4026"/>
      <c r="Z31" s="4026"/>
      <c r="AA31" s="4026"/>
      <c r="AB31" s="4026"/>
      <c r="AC31" s="261"/>
      <c r="AD31" s="4026" t="str">
        <f>IF(TITLE_NUMBER_PR_CHANGE="",IF(TITLE_NUMBER_PR="","",TITLE_NUMBER_PR),TITLE_NUMBER_PR_CHANGE)</f>
        <v>917</v>
      </c>
      <c r="AE31" s="4026"/>
      <c r="AF31" s="4026"/>
      <c r="AG31" s="4026"/>
      <c r="AH31" s="4026"/>
      <c r="AI31" s="4026"/>
      <c r="AJ31" s="4026"/>
      <c r="AK31" s="261"/>
      <c r="AL31" s="261"/>
      <c r="AM31" s="215"/>
      <c r="AN31" s="302"/>
      <c r="AO31" s="302"/>
      <c r="AP31" s="302"/>
      <c r="AQ31" s="302"/>
      <c r="AR31" s="302"/>
      <c r="AS31" s="352">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4024" t="s">
        <v>30</v>
      </c>
      <c r="T32" s="4024"/>
      <c r="U32" s="1296"/>
      <c r="V32" s="4026" t="str">
        <f>IF(TITLE_IST_PUB_CHANGE="",IF(TITLE_IST_PUB="","",TITLE_IST_PUB),TITLE_IST_PUB_CHANGE)</f>
        <v/>
      </c>
      <c r="W32" s="4026"/>
      <c r="X32" s="4026"/>
      <c r="Y32" s="4026"/>
      <c r="Z32" s="4026"/>
      <c r="AA32" s="4026"/>
      <c r="AB32" s="4026"/>
      <c r="AC32" s="261"/>
      <c r="AD32" s="4026" t="str">
        <f>IF(TITLE_IST_PUB_CHANGE="",IF(TITLE_IST_PUB="","",TITLE_IST_PUB),TITLE_IST_PUB_CHANGE)</f>
        <v/>
      </c>
      <c r="AE32" s="4026"/>
      <c r="AF32" s="4026"/>
      <c r="AG32" s="4026"/>
      <c r="AH32" s="4026"/>
      <c r="AI32" s="4026"/>
      <c r="AJ32" s="4026"/>
      <c r="AK32" s="261"/>
      <c r="AL32" s="261"/>
      <c r="AM32" s="215"/>
      <c r="AN32" s="302"/>
      <c r="AO32" s="302"/>
      <c r="AP32" s="302"/>
      <c r="AQ32" s="302"/>
      <c r="AR32" s="302"/>
      <c r="AS32" s="352">
        <v>0</v>
      </c>
    </row>
    <row r="33" spans="1:45" ht="14.25" customHeight="1">
      <c r="Q33" s="310"/>
      <c r="R33" s="310"/>
      <c r="S33" s="1199"/>
      <c r="T33" s="297"/>
      <c r="U33" s="297"/>
      <c r="V33" s="257"/>
      <c r="W33" s="257"/>
      <c r="X33" s="257"/>
      <c r="Y33" s="257"/>
      <c r="Z33" s="257"/>
      <c r="AA33" s="257"/>
      <c r="AB33" s="257"/>
      <c r="AC33" s="257"/>
      <c r="AD33" s="257"/>
      <c r="AE33" s="257"/>
      <c r="AF33" s="257"/>
      <c r="AG33" s="257"/>
      <c r="AH33" s="257"/>
      <c r="AI33" s="257"/>
      <c r="AJ33" s="257"/>
      <c r="AK33" s="257"/>
      <c r="AL33" s="443"/>
      <c r="AS33" s="1079">
        <v>0</v>
      </c>
    </row>
    <row r="34" spans="1:45" s="1748" customFormat="1" ht="18.75" customHeight="1">
      <c r="A34" s="1292"/>
      <c r="B34" s="1292"/>
      <c r="C34" s="1292"/>
      <c r="D34" s="1292"/>
      <c r="E34" s="1292"/>
      <c r="F34" s="1292"/>
      <c r="G34" s="1292"/>
      <c r="H34" s="1292"/>
      <c r="I34" s="1292"/>
      <c r="J34" s="1292"/>
      <c r="K34" s="1292"/>
      <c r="L34" s="1293"/>
      <c r="M34" s="1292"/>
      <c r="N34" s="1292"/>
      <c r="O34" s="1292"/>
      <c r="S34" s="4024" t="s">
        <v>630</v>
      </c>
      <c r="T34" s="4024"/>
      <c r="U34" s="1296"/>
      <c r="V34" s="4025">
        <f>IF(TITLE_DATE_PR_CHANGE="",IF(TITLE_DATE_PR="","",TITLE_DATE_PR),TITLE_DATE_PR_CHANGE)</f>
        <v>45765</v>
      </c>
      <c r="W34" s="4025"/>
      <c r="X34" s="4025"/>
      <c r="Y34" s="4025"/>
      <c r="Z34" s="4025"/>
      <c r="AA34" s="4025"/>
      <c r="AB34" s="4025"/>
      <c r="AC34" s="261"/>
      <c r="AD34" s="4025">
        <f>IF(TITLE_DATE_PR_CHANGE="",IF(TITLE_DATE_PR="","",TITLE_DATE_PR),TITLE_DATE_PR_CHANGE)</f>
        <v>45765</v>
      </c>
      <c r="AE34" s="4025"/>
      <c r="AF34" s="4025"/>
      <c r="AG34" s="4025"/>
      <c r="AH34" s="4025"/>
      <c r="AI34" s="4025"/>
      <c r="AJ34" s="4025"/>
      <c r="AK34" s="261"/>
      <c r="AL34" s="261"/>
      <c r="AM34" s="215"/>
      <c r="AN34" s="302"/>
      <c r="AO34" s="302"/>
      <c r="AP34" s="302"/>
      <c r="AQ34" s="302"/>
      <c r="AR34" s="302"/>
      <c r="AS34" s="352">
        <v>0</v>
      </c>
    </row>
    <row r="35" spans="1:45" s="1748" customFormat="1" ht="18.75" customHeight="1">
      <c r="A35" s="1292"/>
      <c r="B35" s="1292"/>
      <c r="C35" s="1292"/>
      <c r="D35" s="1292"/>
      <c r="E35" s="1292"/>
      <c r="F35" s="1292"/>
      <c r="G35" s="1292"/>
      <c r="H35" s="1292"/>
      <c r="I35" s="1292"/>
      <c r="J35" s="1292"/>
      <c r="K35" s="1292"/>
      <c r="L35" s="1293"/>
      <c r="M35" s="1292"/>
      <c r="N35" s="1292"/>
      <c r="O35" s="1292"/>
      <c r="S35" s="4024" t="s">
        <v>631</v>
      </c>
      <c r="T35" s="4024"/>
      <c r="U35" s="1296"/>
      <c r="V35" s="4026" t="str">
        <f>IF(TITLE_NUMBER_PR_CHANGE="",IF(TITLE_NUMBER_PR="","",TITLE_NUMBER_PR),TITLE_NUMBER_PR_CHANGE)</f>
        <v>917</v>
      </c>
      <c r="W35" s="4026"/>
      <c r="X35" s="4026"/>
      <c r="Y35" s="4026"/>
      <c r="Z35" s="4026"/>
      <c r="AA35" s="4026"/>
      <c r="AB35" s="4026"/>
      <c r="AC35" s="261"/>
      <c r="AD35" s="4026" t="str">
        <f>IF(TITLE_NUMBER_PR_CHANGE="",IF(TITLE_NUMBER_PR="","",TITLE_NUMBER_PR),TITLE_NUMBER_PR_CHANGE)</f>
        <v>917</v>
      </c>
      <c r="AE35" s="4026"/>
      <c r="AF35" s="4026"/>
      <c r="AG35" s="4026"/>
      <c r="AH35" s="4026"/>
      <c r="AI35" s="4026"/>
      <c r="AJ35" s="4026"/>
      <c r="AK35" s="261"/>
      <c r="AL35" s="261"/>
      <c r="AM35" s="215"/>
      <c r="AN35" s="302"/>
      <c r="AO35" s="302"/>
      <c r="AP35" s="302"/>
      <c r="AQ35" s="302"/>
      <c r="AR35" s="302"/>
      <c r="AS35" s="352">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632</v>
      </c>
      <c r="AD36" s="261"/>
      <c r="AE36" s="261"/>
      <c r="AF36" s="261"/>
      <c r="AG36" s="261"/>
      <c r="AH36" s="261"/>
      <c r="AI36" s="261"/>
      <c r="AJ36" s="261"/>
      <c r="AK36" s="213" t="s">
        <v>632</v>
      </c>
      <c r="AN36" s="302"/>
      <c r="AO36" s="302"/>
      <c r="AP36" s="302"/>
      <c r="AQ36" s="302"/>
      <c r="AR36" s="302"/>
      <c r="AS36" s="352">
        <v>0</v>
      </c>
    </row>
    <row r="37" spans="1:45" ht="14.65" customHeight="1">
      <c r="Q37" s="310"/>
      <c r="R37" s="310"/>
      <c r="S37" s="1199"/>
      <c r="T37" s="297"/>
      <c r="U37" s="1168"/>
      <c r="V37" s="4045"/>
      <c r="W37" s="4045"/>
      <c r="X37" s="4045"/>
      <c r="Y37" s="4045"/>
      <c r="Z37" s="4045"/>
      <c r="AA37" s="4045"/>
      <c r="AB37" s="4045"/>
      <c r="AC37" s="4045"/>
      <c r="AD37" s="4045"/>
      <c r="AE37" s="4045"/>
      <c r="AF37" s="4045"/>
      <c r="AG37" s="4045"/>
      <c r="AH37" s="4045"/>
      <c r="AI37" s="4045"/>
      <c r="AJ37" s="4045"/>
      <c r="AK37" s="4045"/>
      <c r="AS37" s="1079">
        <v>14</v>
      </c>
    </row>
    <row r="38" spans="1:45" ht="14.65" customHeight="1">
      <c r="Q38" s="310"/>
      <c r="R38" s="310"/>
      <c r="S38" s="3889" t="s">
        <v>508</v>
      </c>
      <c r="T38" s="3889"/>
      <c r="U38" s="3889"/>
      <c r="V38" s="3889"/>
      <c r="W38" s="3889"/>
      <c r="X38" s="3889"/>
      <c r="Y38" s="3889"/>
      <c r="Z38" s="3889"/>
      <c r="AA38" s="3889"/>
      <c r="AB38" s="3889"/>
      <c r="AC38" s="3889"/>
      <c r="AD38" s="3889"/>
      <c r="AE38" s="3889"/>
      <c r="AF38" s="3889"/>
      <c r="AG38" s="3889"/>
      <c r="AH38" s="3889"/>
      <c r="AI38" s="3889"/>
      <c r="AJ38" s="3889"/>
      <c r="AK38" s="3889"/>
      <c r="AL38" s="3889"/>
      <c r="AM38" s="3889" t="s">
        <v>509</v>
      </c>
      <c r="AS38" s="1079">
        <v>14</v>
      </c>
    </row>
    <row r="39" spans="1:45" ht="14.65" customHeight="1">
      <c r="Q39" s="310"/>
      <c r="R39" s="310"/>
      <c r="S39" s="4046" t="s">
        <v>75</v>
      </c>
      <c r="T39" s="3995" t="s">
        <v>633</v>
      </c>
      <c r="U39" s="236"/>
      <c r="V39" s="4047" t="s">
        <v>634</v>
      </c>
      <c r="W39" s="4048"/>
      <c r="X39" s="4048"/>
      <c r="Y39" s="4048"/>
      <c r="Z39" s="4048"/>
      <c r="AA39" s="4048"/>
      <c r="AB39" s="4049"/>
      <c r="AC39" s="4050" t="s">
        <v>635</v>
      </c>
      <c r="AD39" s="4047" t="s">
        <v>634</v>
      </c>
      <c r="AE39" s="4048"/>
      <c r="AF39" s="4048"/>
      <c r="AG39" s="4048"/>
      <c r="AH39" s="4048"/>
      <c r="AI39" s="4048"/>
      <c r="AJ39" s="4049"/>
      <c r="AK39" s="4050" t="s">
        <v>636</v>
      </c>
      <c r="AL39" s="4053" t="s">
        <v>637</v>
      </c>
      <c r="AM39" s="3889"/>
      <c r="AS39" s="1079">
        <v>14</v>
      </c>
    </row>
    <row r="40" spans="1:45" ht="35.65" customHeight="1">
      <c r="Q40" s="310"/>
      <c r="R40" s="310"/>
      <c r="S40" s="4046"/>
      <c r="T40" s="3995"/>
      <c r="U40" s="958"/>
      <c r="V40" s="3967" t="s">
        <v>638</v>
      </c>
      <c r="W40" s="4042" t="s">
        <v>639</v>
      </c>
      <c r="X40" s="3870" t="s">
        <v>640</v>
      </c>
      <c r="Y40" s="3869"/>
      <c r="Z40" s="3870" t="s">
        <v>653</v>
      </c>
      <c r="AA40" s="3875"/>
      <c r="AB40" s="3869"/>
      <c r="AC40" s="4051"/>
      <c r="AD40" s="3967" t="s">
        <v>638</v>
      </c>
      <c r="AE40" s="4042" t="s">
        <v>639</v>
      </c>
      <c r="AF40" s="3870" t="s">
        <v>640</v>
      </c>
      <c r="AG40" s="3869"/>
      <c r="AH40" s="3870" t="s">
        <v>641</v>
      </c>
      <c r="AI40" s="3875"/>
      <c r="AJ40" s="3869"/>
      <c r="AK40" s="4051"/>
      <c r="AL40" s="4054"/>
      <c r="AM40" s="3889"/>
      <c r="AS40" s="1079">
        <v>34</v>
      </c>
    </row>
    <row r="41" spans="1:45" ht="35.65" customHeight="1">
      <c r="A41" s="1294"/>
      <c r="B41" s="1294" t="s">
        <v>207</v>
      </c>
      <c r="C41" s="1294" t="s">
        <v>208</v>
      </c>
      <c r="D41" s="1294" t="s">
        <v>209</v>
      </c>
      <c r="E41" s="1288" t="s">
        <v>642</v>
      </c>
      <c r="F41" s="1288" t="s">
        <v>643</v>
      </c>
      <c r="G41" s="1288" t="s">
        <v>644</v>
      </c>
      <c r="H41" s="1288" t="s">
        <v>645</v>
      </c>
      <c r="I41" s="1288" t="s">
        <v>646</v>
      </c>
      <c r="J41" s="1288" t="s">
        <v>647</v>
      </c>
      <c r="K41" s="1288" t="s">
        <v>648</v>
      </c>
      <c r="L41" s="1288" t="s">
        <v>623</v>
      </c>
      <c r="Q41" s="310"/>
      <c r="R41" s="310"/>
      <c r="S41" s="4046"/>
      <c r="T41" s="3995"/>
      <c r="U41" s="237"/>
      <c r="V41" s="4019"/>
      <c r="W41" s="4043"/>
      <c r="X41" s="1146" t="s">
        <v>649</v>
      </c>
      <c r="Y41" s="1146" t="s">
        <v>650</v>
      </c>
      <c r="Z41" s="1262" t="s">
        <v>651</v>
      </c>
      <c r="AA41" s="4000" t="s">
        <v>652</v>
      </c>
      <c r="AB41" s="4013"/>
      <c r="AC41" s="4052"/>
      <c r="AD41" s="4019"/>
      <c r="AE41" s="4043"/>
      <c r="AF41" s="1146" t="s">
        <v>649</v>
      </c>
      <c r="AG41" s="1146" t="s">
        <v>650</v>
      </c>
      <c r="AH41" s="1262" t="s">
        <v>651</v>
      </c>
      <c r="AI41" s="4000" t="s">
        <v>652</v>
      </c>
      <c r="AJ41" s="4013"/>
      <c r="AK41" s="4052"/>
      <c r="AL41" s="4055"/>
      <c r="AM41" s="3889"/>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184</v>
      </c>
      <c r="T42" s="1179" t="s">
        <v>89</v>
      </c>
      <c r="U42" s="1169" t="str">
        <f ca="1">OFFSET(U42,0,-1)</f>
        <v>2</v>
      </c>
      <c r="V42" s="1259">
        <f ca="1">OFFSET(V42,0,-1)+1</f>
        <v>3</v>
      </c>
      <c r="W42" s="1259"/>
      <c r="X42" s="1259">
        <f ca="1">OFFSET(X42,0,-1)+1</f>
        <v>1</v>
      </c>
      <c r="Y42" s="1259">
        <f ca="1">OFFSET(Y42,0,-1)+1</f>
        <v>2</v>
      </c>
      <c r="Z42" s="1259">
        <f ca="1">OFFSET(Z42,0,-1)+1</f>
        <v>3</v>
      </c>
      <c r="AA42" s="4044">
        <f ca="1">OFFSET(AA42,0,-1)+1</f>
        <v>4</v>
      </c>
      <c r="AB42" s="4044"/>
      <c r="AC42" s="1259">
        <f ca="1">OFFSET(AC42,0,-2)+1</f>
        <v>5</v>
      </c>
      <c r="AD42" s="1259">
        <f ca="1">OFFSET(AD42,0,-1)+1</f>
        <v>6</v>
      </c>
      <c r="AE42" s="1259"/>
      <c r="AF42" s="1259">
        <f ca="1">OFFSET(AF42,0,-1)+1</f>
        <v>1</v>
      </c>
      <c r="AG42" s="1259">
        <f ca="1">OFFSET(AG42,0,-1)+1</f>
        <v>2</v>
      </c>
      <c r="AH42" s="1259">
        <f ca="1">OFFSET(AH42,0,-1)+1</f>
        <v>3</v>
      </c>
      <c r="AI42" s="4044">
        <f ca="1">OFFSET(AI42,0,-1)+1</f>
        <v>4</v>
      </c>
      <c r="AJ42" s="4044"/>
      <c r="AK42" s="1259">
        <f ca="1">OFFSET(AK42,0,-2)+1</f>
        <v>5</v>
      </c>
      <c r="AL42" s="1169">
        <f ca="1">OFFSET(AL42,0,-1)</f>
        <v>5</v>
      </c>
      <c r="AM42" s="1259">
        <f ca="1">OFFSET(AM42,0,-1)+1</f>
        <v>6</v>
      </c>
      <c r="AN42" s="445"/>
      <c r="AO42" s="445"/>
      <c r="AP42" s="445"/>
      <c r="AQ42" s="445"/>
      <c r="AR42" s="445"/>
      <c r="AS42" s="430">
        <v>0</v>
      </c>
    </row>
    <row r="43" spans="1:45" ht="21.95" customHeight="1">
      <c r="A43" s="1287" t="s">
        <v>231</v>
      </c>
      <c r="B43" s="1287"/>
      <c r="C43" s="1287"/>
      <c r="D43" s="1287"/>
      <c r="E43" s="4033">
        <v>1</v>
      </c>
      <c r="F43" s="1287"/>
      <c r="G43" s="1287"/>
      <c r="H43" s="1287"/>
      <c r="I43" s="1287"/>
      <c r="J43" s="1287"/>
      <c r="K43" s="1287"/>
      <c r="L43" s="1288"/>
      <c r="M43" s="1289"/>
      <c r="N43" s="1289"/>
      <c r="O43" s="1289"/>
      <c r="P43" s="295"/>
      <c r="Q43" s="294"/>
      <c r="R43" s="289"/>
      <c r="S43" s="1260">
        <f>INDEX(PT_DIFFERENTIATION_NUM_NTAR,MATCH(A43,PT_DIFFERENTIATION_NTAR_ID,0))</f>
        <v>1</v>
      </c>
      <c r="T43" s="233" t="s">
        <v>195</v>
      </c>
      <c r="U43" s="235"/>
      <c r="V43" s="4027"/>
      <c r="W43" s="4028"/>
      <c r="X43" s="4028"/>
      <c r="Y43" s="4028"/>
      <c r="Z43" s="4028"/>
      <c r="AA43" s="4028"/>
      <c r="AB43" s="4028"/>
      <c r="AC43" s="4029"/>
      <c r="AD43" s="4027" t="str">
        <f>INDEX(PT_DIFFERENTIATION_NTAR,MATCH(A43,PT_DIFFERENTIATION_NTAR_ID,0))</f>
        <v>Тариф на тепловую энергию (мощность), поставляемую потребителям</v>
      </c>
      <c r="AE43" s="4028"/>
      <c r="AF43" s="4028"/>
      <c r="AG43" s="4028"/>
      <c r="AH43" s="4028"/>
      <c r="AI43" s="4028"/>
      <c r="AJ43" s="4028"/>
      <c r="AK43" s="4028"/>
      <c r="AL43" s="4029"/>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74" si="1">IF(T43="","",T43)</f>
        <v>Наименование тарифа</v>
      </c>
      <c r="AQ43" s="434"/>
      <c r="AR43" s="434"/>
      <c r="AS43" s="1079">
        <v>21</v>
      </c>
    </row>
    <row r="44" spans="1:45" ht="21.95" customHeight="1">
      <c r="A44" s="1287" t="s">
        <v>231</v>
      </c>
      <c r="B44" s="1287" t="s">
        <v>232</v>
      </c>
      <c r="C44" s="1287"/>
      <c r="D44" s="1287"/>
      <c r="E44" s="4034"/>
      <c r="F44" s="4033">
        <v>1</v>
      </c>
      <c r="G44" s="1287"/>
      <c r="H44" s="1287"/>
      <c r="I44" s="1287"/>
      <c r="J44" s="1287"/>
      <c r="K44" s="1287"/>
      <c r="L44" s="1288"/>
      <c r="M44" s="1289"/>
      <c r="N44" s="1289"/>
      <c r="O44" s="1289"/>
      <c r="P44" s="1256"/>
      <c r="Q44" s="286"/>
      <c r="R44" s="287"/>
      <c r="S44" s="1260" t="str">
        <f>INDEX(PT_DIFFERENTIATION_NUM_TER,MATCH(B44,PT_DIFFERENTIATION_TER_ID,0))</f>
        <v>1.1</v>
      </c>
      <c r="T44" s="243" t="s">
        <v>605</v>
      </c>
      <c r="U44" s="235"/>
      <c r="V44" s="4027"/>
      <c r="W44" s="4028"/>
      <c r="X44" s="4028"/>
      <c r="Y44" s="4028"/>
      <c r="Z44" s="4028"/>
      <c r="AA44" s="4028"/>
      <c r="AB44" s="4028"/>
      <c r="AC44" s="4029"/>
      <c r="AD44" s="4027" t="str">
        <f>INDEX(PT_DIFFERENTIATION_TER,MATCH(B44,PT_DIFFERENTIATION_TER_ID,0))</f>
        <v>Территория 1</v>
      </c>
      <c r="AE44" s="4028"/>
      <c r="AF44" s="4028"/>
      <c r="AG44" s="4028"/>
      <c r="AH44" s="4028"/>
      <c r="AI44" s="4028"/>
      <c r="AJ44" s="4028"/>
      <c r="AK44" s="4028"/>
      <c r="AL44" s="4029"/>
      <c r="AM44" s="1182" t="s">
        <v>606</v>
      </c>
      <c r="AO44" s="434"/>
      <c r="AP44" s="434" t="str">
        <f t="shared" si="1"/>
        <v>Территория действия тарифа</v>
      </c>
      <c r="AQ44" s="434"/>
      <c r="AR44" s="434"/>
      <c r="AS44" s="1079">
        <v>21</v>
      </c>
    </row>
    <row r="45" spans="1:45" ht="24" customHeight="1">
      <c r="A45" s="1287" t="s">
        <v>231</v>
      </c>
      <c r="B45" s="1287" t="s">
        <v>232</v>
      </c>
      <c r="C45" s="1287" t="s">
        <v>233</v>
      </c>
      <c r="D45" s="1287"/>
      <c r="E45" s="4034"/>
      <c r="F45" s="4034"/>
      <c r="G45" s="4033">
        <v>1</v>
      </c>
      <c r="H45" s="1287"/>
      <c r="I45" s="1287"/>
      <c r="J45" s="1287"/>
      <c r="K45" s="1287"/>
      <c r="L45" s="1288"/>
      <c r="M45" s="1289"/>
      <c r="N45" s="1289"/>
      <c r="O45" s="1289"/>
      <c r="P45" s="288"/>
      <c r="Q45" s="286"/>
      <c r="R45" s="287"/>
      <c r="S45" s="1260" t="str">
        <f>INDEX(PT_DIFFERENTIATION_NUM_CS,MATCH(C45,PT_DIFFERENTIATION_CS_ID,0))</f>
        <v>1.1.1</v>
      </c>
      <c r="T45" s="244" t="s">
        <v>607</v>
      </c>
      <c r="U45" s="235"/>
      <c r="V45" s="4027"/>
      <c r="W45" s="4028"/>
      <c r="X45" s="4028"/>
      <c r="Y45" s="4028"/>
      <c r="Z45" s="4028"/>
      <c r="AA45" s="4028"/>
      <c r="AB45" s="4028"/>
      <c r="AC45" s="4029"/>
      <c r="AD45" s="4027" t="str">
        <f>INDEX(PT_DIFFERENTIATION_CS,MATCH(C45,PT_DIFFERENTIATION_CS_ID,0))</f>
        <v>котельная г. Вязьма, ул. Московская</v>
      </c>
      <c r="AE45" s="4028"/>
      <c r="AF45" s="4028"/>
      <c r="AG45" s="4028"/>
      <c r="AH45" s="4028"/>
      <c r="AI45" s="4028"/>
      <c r="AJ45" s="4028"/>
      <c r="AK45" s="4028"/>
      <c r="AL45" s="4029"/>
      <c r="AM45" s="1182" t="s">
        <v>608</v>
      </c>
      <c r="AO45" s="434"/>
      <c r="AP45" s="434" t="str">
        <f t="shared" si="1"/>
        <v xml:space="preserve">Наименование системы теплоснабжения </v>
      </c>
      <c r="AQ45" s="434"/>
      <c r="AR45" s="434"/>
      <c r="AS45" s="1079">
        <v>23</v>
      </c>
    </row>
    <row r="46" spans="1:45" ht="21.95" customHeight="1">
      <c r="A46" s="1287" t="s">
        <v>231</v>
      </c>
      <c r="B46" s="1287" t="s">
        <v>232</v>
      </c>
      <c r="C46" s="1287" t="s">
        <v>233</v>
      </c>
      <c r="D46" s="1287" t="s">
        <v>234</v>
      </c>
      <c r="E46" s="4034"/>
      <c r="F46" s="4034"/>
      <c r="G46" s="4034"/>
      <c r="H46" s="4033">
        <v>1</v>
      </c>
      <c r="I46" s="1287"/>
      <c r="J46" s="1287"/>
      <c r="K46" s="1287"/>
      <c r="L46" s="1288"/>
      <c r="M46" s="1289"/>
      <c r="N46" s="1289"/>
      <c r="O46" s="1289"/>
      <c r="P46" s="288"/>
      <c r="Q46" s="286"/>
      <c r="R46" s="287"/>
      <c r="S46" s="1260" t="str">
        <f>INDEX(PT_DIFFERENTIATION_NUM_IST_TE,MATCH(D46,PT_DIFFERENTIATION_IST_TE_ID,0))</f>
        <v>1.1.1.1</v>
      </c>
      <c r="T46" s="245" t="s">
        <v>609</v>
      </c>
      <c r="U46" s="235"/>
      <c r="V46" s="4027"/>
      <c r="W46" s="4028"/>
      <c r="X46" s="4028"/>
      <c r="Y46" s="4028"/>
      <c r="Z46" s="4028"/>
      <c r="AA46" s="4028"/>
      <c r="AB46" s="4028"/>
      <c r="AC46" s="4029"/>
      <c r="AD46" s="4027" t="str">
        <f>INDEX(PT_DIFFERENTIATION_IST_TE,MATCH(D46,PT_DIFFERENTIATION_IST_TE_ID,0))</f>
        <v>без дифференциации</v>
      </c>
      <c r="AE46" s="4028"/>
      <c r="AF46" s="4028"/>
      <c r="AG46" s="4028"/>
      <c r="AH46" s="4028"/>
      <c r="AI46" s="4028"/>
      <c r="AJ46" s="4028"/>
      <c r="AK46" s="4028"/>
      <c r="AL46" s="4029"/>
      <c r="AM46" s="1182" t="s">
        <v>610</v>
      </c>
      <c r="AO46" s="434"/>
      <c r="AP46" s="434" t="str">
        <f t="shared" si="1"/>
        <v xml:space="preserve">Источник тепловой энергии  </v>
      </c>
      <c r="AQ46" s="434"/>
      <c r="AR46" s="434"/>
      <c r="AS46" s="1079">
        <v>21</v>
      </c>
    </row>
    <row r="47" spans="1:45" ht="49.5" customHeight="1">
      <c r="A47" s="1287" t="s">
        <v>231</v>
      </c>
      <c r="B47" s="1287" t="s">
        <v>232</v>
      </c>
      <c r="C47" s="1287" t="s">
        <v>233</v>
      </c>
      <c r="D47" s="1287" t="s">
        <v>234</v>
      </c>
      <c r="E47" s="4034"/>
      <c r="F47" s="4034"/>
      <c r="G47" s="4034"/>
      <c r="H47" s="4034"/>
      <c r="I47" s="4035" t="str">
        <f>S46&amp;".1"</f>
        <v>1.1.1.1.1</v>
      </c>
      <c r="J47" s="1287"/>
      <c r="K47" s="1287"/>
      <c r="L47" s="1288" t="s">
        <v>611</v>
      </c>
      <c r="P47" s="4037">
        <v>1</v>
      </c>
      <c r="Q47" s="1255"/>
      <c r="R47" s="290"/>
      <c r="S47" s="1260" t="str">
        <f>$I47</f>
        <v>1.1.1.1.1</v>
      </c>
      <c r="T47" s="220" t="s">
        <v>612</v>
      </c>
      <c r="U47" s="235"/>
      <c r="V47" s="4021"/>
      <c r="W47" s="4022"/>
      <c r="X47" s="4022"/>
      <c r="Y47" s="4022"/>
      <c r="Z47" s="4022"/>
      <c r="AA47" s="4022"/>
      <c r="AB47" s="4022"/>
      <c r="AC47" s="4023"/>
      <c r="AD47" s="4021" t="s">
        <v>654</v>
      </c>
      <c r="AE47" s="4022"/>
      <c r="AF47" s="4022"/>
      <c r="AG47" s="4022"/>
      <c r="AH47" s="4022"/>
      <c r="AI47" s="4022"/>
      <c r="AJ47" s="4022"/>
      <c r="AK47" s="4022"/>
      <c r="AL47" s="4023"/>
      <c r="AM47" s="1182" t="s">
        <v>613</v>
      </c>
      <c r="AO47" s="434"/>
      <c r="AP47" s="434" t="str">
        <f t="shared" si="1"/>
        <v>Схема подключения теплопотребляющей установки к коллектору источника тепловой энергии</v>
      </c>
      <c r="AQ47" s="434"/>
      <c r="AR47" s="434"/>
      <c r="AS47" s="1079">
        <v>47</v>
      </c>
    </row>
    <row r="48" spans="1:45" ht="21.95" customHeight="1">
      <c r="A48" s="1287" t="s">
        <v>231</v>
      </c>
      <c r="B48" s="1287" t="s">
        <v>232</v>
      </c>
      <c r="C48" s="1287" t="s">
        <v>233</v>
      </c>
      <c r="D48" s="1287" t="s">
        <v>234</v>
      </c>
      <c r="E48" s="4034"/>
      <c r="F48" s="4034"/>
      <c r="G48" s="4034"/>
      <c r="H48" s="4034"/>
      <c r="I48" s="4036"/>
      <c r="J48" s="4035" t="str">
        <f>I47&amp;".1"</f>
        <v>1.1.1.1.1.1</v>
      </c>
      <c r="K48" s="1287"/>
      <c r="L48" s="1288" t="s">
        <v>614</v>
      </c>
      <c r="P48" s="4037"/>
      <c r="Q48" s="4037">
        <v>1</v>
      </c>
      <c r="R48" s="291"/>
      <c r="S48" s="1260" t="str">
        <f>$J48</f>
        <v>1.1.1.1.1.1</v>
      </c>
      <c r="T48" s="221" t="s">
        <v>615</v>
      </c>
      <c r="U48" s="235"/>
      <c r="V48" s="4021"/>
      <c r="W48" s="4022"/>
      <c r="X48" s="4022"/>
      <c r="Y48" s="4022"/>
      <c r="Z48" s="4022"/>
      <c r="AA48" s="4022"/>
      <c r="AB48" s="4022"/>
      <c r="AC48" s="4023"/>
      <c r="AD48" s="4021" t="s">
        <v>654</v>
      </c>
      <c r="AE48" s="4022"/>
      <c r="AF48" s="4022"/>
      <c r="AG48" s="4022"/>
      <c r="AH48" s="4022"/>
      <c r="AI48" s="4022"/>
      <c r="AJ48" s="4022"/>
      <c r="AK48" s="4022"/>
      <c r="AL48" s="4023"/>
      <c r="AM48" s="1182" t="s">
        <v>616</v>
      </c>
      <c r="AO48" s="434"/>
      <c r="AP48" s="434" t="str">
        <f t="shared" si="1"/>
        <v>Группа потребителей</v>
      </c>
      <c r="AQ48" s="434"/>
      <c r="AR48" s="434"/>
      <c r="AS48" s="1079">
        <v>21</v>
      </c>
    </row>
    <row r="49" spans="1:45" ht="21.95" customHeight="1">
      <c r="A49" s="1287" t="s">
        <v>231</v>
      </c>
      <c r="B49" s="1287" t="s">
        <v>232</v>
      </c>
      <c r="C49" s="1287" t="s">
        <v>233</v>
      </c>
      <c r="D49" s="1287" t="s">
        <v>234</v>
      </c>
      <c r="E49" s="4034"/>
      <c r="F49" s="4034"/>
      <c r="G49" s="4034"/>
      <c r="H49" s="4034"/>
      <c r="I49" s="4036"/>
      <c r="J49" s="4036"/>
      <c r="K49" s="4035" t="str">
        <f>J48&amp;".1"</f>
        <v>1.1.1.1.1.1.1</v>
      </c>
      <c r="L49" s="1288" t="s">
        <v>617</v>
      </c>
      <c r="P49" s="4037"/>
      <c r="Q49" s="4037"/>
      <c r="R49" s="291">
        <v>1</v>
      </c>
      <c r="S49" s="1260" t="str">
        <f>$K49</f>
        <v>1.1.1.1.1.1.1</v>
      </c>
      <c r="T49" s="1271" t="s">
        <v>654</v>
      </c>
      <c r="U49" s="235"/>
      <c r="V49" s="685"/>
      <c r="W49" s="260"/>
      <c r="X49" s="685"/>
      <c r="Y49" s="1181"/>
      <c r="Z49" s="4038"/>
      <c r="AA49" s="3899" t="s">
        <v>53</v>
      </c>
      <c r="AB49" s="4038"/>
      <c r="AC49" s="3899" t="s">
        <v>53</v>
      </c>
      <c r="AD49" s="685">
        <v>2899.47</v>
      </c>
      <c r="AE49" s="260"/>
      <c r="AF49" s="685"/>
      <c r="AG49" s="1181"/>
      <c r="AH49" s="4038">
        <v>46023.597361111111</v>
      </c>
      <c r="AI49" s="3899" t="s">
        <v>53</v>
      </c>
      <c r="AJ49" s="4040">
        <v>46387.597442129627</v>
      </c>
      <c r="AK49" s="3899" t="s">
        <v>53</v>
      </c>
      <c r="AL49" s="1272"/>
      <c r="AM49" s="4056" t="s">
        <v>618</v>
      </c>
      <c r="AN49" s="445" t="e">
        <f ca="1">STRCHECKDATE(V50:AL50)</f>
        <v>#NAME?</v>
      </c>
      <c r="AO49" s="434"/>
      <c r="AP49" s="434" t="str">
        <f t="shared" si="1"/>
        <v>без дифференциации</v>
      </c>
      <c r="AQ49" s="434"/>
      <c r="AR49" s="434"/>
      <c r="AS49" s="1079">
        <v>21</v>
      </c>
    </row>
    <row r="50" spans="1:45" ht="1.1499999999999999" customHeight="1">
      <c r="A50" s="1287" t="s">
        <v>231</v>
      </c>
      <c r="B50" s="1287" t="s">
        <v>232</v>
      </c>
      <c r="C50" s="1287" t="s">
        <v>233</v>
      </c>
      <c r="D50" s="1287" t="s">
        <v>234</v>
      </c>
      <c r="E50" s="4034"/>
      <c r="F50" s="4034"/>
      <c r="G50" s="4034"/>
      <c r="H50" s="4034"/>
      <c r="I50" s="4036"/>
      <c r="J50" s="4036"/>
      <c r="K50" s="4035"/>
      <c r="L50" s="1288"/>
      <c r="P50" s="4037"/>
      <c r="Q50" s="4037"/>
      <c r="R50" s="291"/>
      <c r="S50" s="1266"/>
      <c r="T50" s="235"/>
      <c r="U50" s="235"/>
      <c r="V50" s="260"/>
      <c r="W50" s="260"/>
      <c r="X50" s="260"/>
      <c r="Y50" s="263" t="str">
        <f>Z49&amp;"-"&amp;AB49</f>
        <v>-</v>
      </c>
      <c r="Z50" s="4039"/>
      <c r="AA50" s="3899"/>
      <c r="AB50" s="4039"/>
      <c r="AC50" s="3899"/>
      <c r="AD50" s="260"/>
      <c r="AE50" s="260"/>
      <c r="AF50" s="260"/>
      <c r="AG50" s="263" t="str">
        <f>AH49&amp;"-"&amp;AJ49</f>
        <v>46023,5973611111-46387,5974421296</v>
      </c>
      <c r="AH50" s="4039"/>
      <c r="AI50" s="3899"/>
      <c r="AJ50" s="4041"/>
      <c r="AK50" s="3899"/>
      <c r="AL50" s="1273"/>
      <c r="AM50" s="4057"/>
      <c r="AO50" s="434"/>
      <c r="AP50" s="434" t="str">
        <f t="shared" si="1"/>
        <v/>
      </c>
      <c r="AQ50" s="434"/>
      <c r="AR50" s="434"/>
      <c r="AS50" s="1079">
        <v>1</v>
      </c>
    </row>
    <row r="51" spans="1:45" ht="11.45" customHeight="1">
      <c r="A51" s="1287" t="s">
        <v>231</v>
      </c>
      <c r="B51" s="1287" t="s">
        <v>232</v>
      </c>
      <c r="C51" s="1287" t="s">
        <v>233</v>
      </c>
      <c r="D51" s="1287" t="s">
        <v>234</v>
      </c>
      <c r="E51" s="4034"/>
      <c r="F51" s="4034"/>
      <c r="G51" s="4034"/>
      <c r="H51" s="4034"/>
      <c r="I51" s="4036"/>
      <c r="J51" s="4035"/>
      <c r="K51" s="1287"/>
      <c r="L51" s="1288"/>
      <c r="P51" s="4037"/>
      <c r="Q51" s="4037"/>
      <c r="R51" s="290"/>
      <c r="S51" s="1202"/>
      <c r="T51" s="223" t="s">
        <v>619</v>
      </c>
      <c r="U51" s="301"/>
      <c r="V51" s="301"/>
      <c r="W51" s="301"/>
      <c r="X51" s="301"/>
      <c r="Y51" s="301"/>
      <c r="Z51" s="301"/>
      <c r="AA51" s="301"/>
      <c r="AB51" s="301"/>
      <c r="AC51" s="301"/>
      <c r="AD51" s="301"/>
      <c r="AE51" s="301"/>
      <c r="AF51" s="301"/>
      <c r="AG51" s="301"/>
      <c r="AH51" s="301"/>
      <c r="AI51" s="301"/>
      <c r="AJ51" s="301"/>
      <c r="AK51" s="301"/>
      <c r="AL51" s="259"/>
      <c r="AM51" s="4058"/>
      <c r="AO51" s="434"/>
      <c r="AP51" s="434" t="str">
        <f t="shared" si="1"/>
        <v>Добавить вид теплоносителя (параметры теплоносителя)</v>
      </c>
      <c r="AQ51" s="434"/>
      <c r="AR51" s="434"/>
      <c r="AS51" s="1079">
        <v>11</v>
      </c>
    </row>
    <row r="52" spans="1:45" ht="11.45" customHeight="1">
      <c r="A52" s="1287" t="s">
        <v>231</v>
      </c>
      <c r="B52" s="1287" t="s">
        <v>232</v>
      </c>
      <c r="C52" s="1287" t="s">
        <v>233</v>
      </c>
      <c r="D52" s="1287" t="s">
        <v>234</v>
      </c>
      <c r="E52" s="4034"/>
      <c r="F52" s="4034"/>
      <c r="G52" s="4034"/>
      <c r="H52" s="4034"/>
      <c r="I52" s="4035"/>
      <c r="J52" s="1287"/>
      <c r="K52" s="1287"/>
      <c r="L52" s="1288"/>
      <c r="P52" s="4037"/>
      <c r="Q52" s="1255"/>
      <c r="R52" s="290"/>
      <c r="S52" s="1202"/>
      <c r="T52" s="222" t="s">
        <v>620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9">
        <v>11</v>
      </c>
    </row>
    <row r="53" spans="1:45" ht="14.65" customHeight="1">
      <c r="A53" s="1287" t="s">
        <v>231</v>
      </c>
      <c r="B53" s="1287" t="s">
        <v>232</v>
      </c>
      <c r="C53" s="1287" t="s">
        <v>233</v>
      </c>
      <c r="D53" s="1287" t="s">
        <v>234</v>
      </c>
      <c r="E53" s="4034"/>
      <c r="F53" s="4034"/>
      <c r="G53" s="4034"/>
      <c r="H53" s="4033"/>
      <c r="I53" s="1287"/>
      <c r="J53" s="1287"/>
      <c r="K53" s="1287"/>
      <c r="L53" s="1288"/>
      <c r="M53" s="1289"/>
      <c r="N53" s="1289"/>
      <c r="O53" s="471"/>
      <c r="P53" s="294"/>
      <c r="Q53" s="309"/>
      <c r="R53" s="289"/>
      <c r="S53" s="1202"/>
      <c r="T53" s="299" t="s">
        <v>621</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9">
        <v>14</v>
      </c>
    </row>
    <row r="54" spans="1:45" s="1566" customFormat="1" ht="1.1499999999999999" customHeight="1">
      <c r="A54" s="1267" t="s">
        <v>231</v>
      </c>
      <c r="B54" s="1267" t="s">
        <v>232</v>
      </c>
      <c r="C54" s="1267" t="s">
        <v>233</v>
      </c>
      <c r="D54" s="1238"/>
      <c r="E54" s="4034"/>
      <c r="F54" s="4034"/>
      <c r="G54" s="4033"/>
      <c r="H54" s="1238"/>
      <c r="I54" s="1238"/>
      <c r="J54" s="1238"/>
      <c r="K54" s="1238"/>
      <c r="L54" s="1263"/>
      <c r="M54" s="1239"/>
      <c r="N54" s="1239"/>
      <c r="P54" s="1240"/>
      <c r="Q54" s="1241"/>
      <c r="R54" s="1240"/>
      <c r="S54" s="1246"/>
      <c r="T54" s="1249" t="s">
        <v>235</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2">
        <v>1</v>
      </c>
    </row>
    <row r="55" spans="1:45" s="1566" customFormat="1" ht="1.1499999999999999" customHeight="1">
      <c r="A55" s="1267" t="s">
        <v>231</v>
      </c>
      <c r="B55" s="1267" t="s">
        <v>232</v>
      </c>
      <c r="C55" s="1238"/>
      <c r="D55" s="1238"/>
      <c r="E55" s="4034"/>
      <c r="F55" s="4033"/>
      <c r="G55" s="1238"/>
      <c r="H55" s="1238"/>
      <c r="I55" s="1238"/>
      <c r="J55" s="1238"/>
      <c r="K55" s="1238"/>
      <c r="L55" s="1263"/>
      <c r="M55" s="1245"/>
      <c r="N55" s="1245"/>
      <c r="P55" s="1240"/>
      <c r="Q55" s="1241"/>
      <c r="R55" s="1240"/>
      <c r="S55" s="1246"/>
      <c r="T55" s="1249" t="s">
        <v>236</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2">
        <v>1</v>
      </c>
    </row>
    <row r="56" spans="1:45" s="1745" customFormat="1" ht="21" customHeight="1">
      <c r="A56" s="1287"/>
      <c r="B56" s="1287" t="s">
        <v>238</v>
      </c>
      <c r="C56" s="1287"/>
      <c r="D56" s="1287"/>
      <c r="E56" s="4034"/>
      <c r="F56" s="4033" t="s">
        <v>89</v>
      </c>
      <c r="G56" s="1287"/>
      <c r="H56" s="1287"/>
      <c r="I56" s="1287"/>
      <c r="J56" s="1287"/>
      <c r="K56" s="1287"/>
      <c r="L56" s="1293"/>
      <c r="M56" s="1289"/>
      <c r="N56" s="1289"/>
      <c r="O56" s="1289"/>
      <c r="P56" s="1970"/>
      <c r="Q56" s="286"/>
      <c r="R56" s="287"/>
      <c r="S56" s="1972" t="str">
        <f>INDEX(PT_DIFFERENTIATION_NUM_TER,MATCH(B56,PT_DIFFERENTIATION_TER_ID,0))</f>
        <v>1.2</v>
      </c>
      <c r="T56" s="1446" t="s">
        <v>605</v>
      </c>
      <c r="U56" s="235"/>
      <c r="V56" s="4027"/>
      <c r="W56" s="4028"/>
      <c r="X56" s="4028"/>
      <c r="Y56" s="4028"/>
      <c r="Z56" s="4028"/>
      <c r="AA56" s="4028"/>
      <c r="AB56" s="4028"/>
      <c r="AC56" s="4029"/>
      <c r="AD56" s="4027" t="str">
        <f>INDEX(PT_DIFFERENTIATION_TER,MATCH(B56,PT_DIFFERENTIATION_TER_ID,0))</f>
        <v>Территория 2</v>
      </c>
      <c r="AE56" s="4028"/>
      <c r="AF56" s="4028"/>
      <c r="AG56" s="4028"/>
      <c r="AH56" s="4028"/>
      <c r="AI56" s="4028"/>
      <c r="AJ56" s="4028"/>
      <c r="AK56" s="4028"/>
      <c r="AL56" s="4029"/>
      <c r="AM56" s="1182" t="s">
        <v>606</v>
      </c>
      <c r="AN56" s="1566"/>
      <c r="AO56" s="1548"/>
      <c r="AP56" s="1548" t="str">
        <f t="shared" si="1"/>
        <v>Территория действия тарифа</v>
      </c>
      <c r="AQ56" s="1548"/>
      <c r="AR56" s="1548"/>
      <c r="AS56" s="1559">
        <v>0</v>
      </c>
    </row>
    <row r="57" spans="1:45" s="1745" customFormat="1" ht="23.25" customHeight="1">
      <c r="A57" s="1287"/>
      <c r="B57" s="1287"/>
      <c r="C57" s="1287" t="s">
        <v>239</v>
      </c>
      <c r="D57" s="1287"/>
      <c r="E57" s="4034"/>
      <c r="F57" s="4034">
        <v>1</v>
      </c>
      <c r="G57" s="4033">
        <v>1</v>
      </c>
      <c r="H57" s="1287"/>
      <c r="I57" s="1287"/>
      <c r="J57" s="1287"/>
      <c r="K57" s="1287"/>
      <c r="L57" s="1293"/>
      <c r="M57" s="1289"/>
      <c r="N57" s="1289"/>
      <c r="O57" s="1289"/>
      <c r="P57" s="288"/>
      <c r="Q57" s="286"/>
      <c r="R57" s="287"/>
      <c r="S57" s="1972" t="str">
        <f>INDEX(PT_DIFFERENTIATION_NUM_CS,MATCH(C57,PT_DIFFERENTIATION_CS_ID,0))</f>
        <v>1.2.1</v>
      </c>
      <c r="T57" s="244" t="s">
        <v>607</v>
      </c>
      <c r="U57" s="235"/>
      <c r="V57" s="4027"/>
      <c r="W57" s="4028"/>
      <c r="X57" s="4028"/>
      <c r="Y57" s="4028"/>
      <c r="Z57" s="4028"/>
      <c r="AA57" s="4028"/>
      <c r="AB57" s="4028"/>
      <c r="AC57" s="4029"/>
      <c r="AD57" s="4027" t="str">
        <f>INDEX(PT_DIFFERENTIATION_CS,MATCH(C57,PT_DIFFERENTIATION_CS_ID,0))</f>
        <v>Вяземский филиал</v>
      </c>
      <c r="AE57" s="4028"/>
      <c r="AF57" s="4028"/>
      <c r="AG57" s="4028"/>
      <c r="AH57" s="4028"/>
      <c r="AI57" s="4028"/>
      <c r="AJ57" s="4028"/>
      <c r="AK57" s="4028"/>
      <c r="AL57" s="4029"/>
      <c r="AM57" s="1182" t="s">
        <v>608</v>
      </c>
      <c r="AN57" s="1566"/>
      <c r="AO57" s="1548"/>
      <c r="AP57" s="1548" t="str">
        <f t="shared" si="1"/>
        <v xml:space="preserve">Наименование системы теплоснабжения </v>
      </c>
      <c r="AQ57" s="1548"/>
      <c r="AR57" s="1548"/>
      <c r="AS57" s="1559">
        <v>0</v>
      </c>
    </row>
    <row r="58" spans="1:45" s="1745" customFormat="1" ht="21" customHeight="1">
      <c r="A58" s="1287"/>
      <c r="B58" s="1287"/>
      <c r="C58" s="1287"/>
      <c r="D58" s="1287" t="s">
        <v>240</v>
      </c>
      <c r="E58" s="4034"/>
      <c r="F58" s="4034">
        <v>1</v>
      </c>
      <c r="G58" s="4034"/>
      <c r="H58" s="4033">
        <v>1</v>
      </c>
      <c r="I58" s="1287"/>
      <c r="J58" s="1287"/>
      <c r="K58" s="1287"/>
      <c r="L58" s="1293"/>
      <c r="M58" s="1289"/>
      <c r="N58" s="1289"/>
      <c r="O58" s="1289"/>
      <c r="P58" s="288"/>
      <c r="Q58" s="286"/>
      <c r="R58" s="287"/>
      <c r="S58" s="1972" t="str">
        <f>INDEX(PT_DIFFERENTIATION_NUM_IST_TE,MATCH(D58,PT_DIFFERENTIATION_IST_TE_ID,0))</f>
        <v>1.2.1.1</v>
      </c>
      <c r="T58" s="245" t="s">
        <v>609</v>
      </c>
      <c r="U58" s="235"/>
      <c r="V58" s="4027"/>
      <c r="W58" s="4028"/>
      <c r="X58" s="4028"/>
      <c r="Y58" s="4028"/>
      <c r="Z58" s="4028"/>
      <c r="AA58" s="4028"/>
      <c r="AB58" s="4028"/>
      <c r="AC58" s="4029"/>
      <c r="AD58" s="4027" t="str">
        <f>INDEX(PT_DIFFERENTIATION_IST_TE,MATCH(D58,PT_DIFFERENTIATION_IST_TE_ID,0))</f>
        <v>без дифференциации</v>
      </c>
      <c r="AE58" s="4028"/>
      <c r="AF58" s="4028"/>
      <c r="AG58" s="4028"/>
      <c r="AH58" s="4028"/>
      <c r="AI58" s="4028"/>
      <c r="AJ58" s="4028"/>
      <c r="AK58" s="4028"/>
      <c r="AL58" s="4029"/>
      <c r="AM58" s="1182" t="s">
        <v>610</v>
      </c>
      <c r="AN58" s="1566"/>
      <c r="AO58" s="1548"/>
      <c r="AP58" s="1548" t="str">
        <f t="shared" si="1"/>
        <v xml:space="preserve">Источник тепловой энергии  </v>
      </c>
      <c r="AQ58" s="1548"/>
      <c r="AR58" s="1548"/>
      <c r="AS58" s="1559">
        <v>0</v>
      </c>
    </row>
    <row r="59" spans="1:45" s="1745" customFormat="1" ht="47.25" customHeight="1">
      <c r="A59" s="1287"/>
      <c r="B59" s="1287"/>
      <c r="C59" s="1287"/>
      <c r="D59" s="1287"/>
      <c r="E59" s="4034"/>
      <c r="F59" s="4034">
        <v>1</v>
      </c>
      <c r="G59" s="4034"/>
      <c r="H59" s="4034"/>
      <c r="I59" s="4035" t="str">
        <f>S58&amp;".1"</f>
        <v>1.2.1.1.1</v>
      </c>
      <c r="J59" s="1287"/>
      <c r="K59" s="1287"/>
      <c r="L59" s="1293" t="s">
        <v>611</v>
      </c>
      <c r="M59" s="1290"/>
      <c r="N59" s="1672"/>
      <c r="O59" s="1672"/>
      <c r="P59" s="4037">
        <v>1</v>
      </c>
      <c r="Q59" s="1974"/>
      <c r="R59" s="290"/>
      <c r="S59" s="1972" t="str">
        <f>$I59</f>
        <v>1.2.1.1.1</v>
      </c>
      <c r="T59" s="220" t="s">
        <v>612</v>
      </c>
      <c r="U59" s="235"/>
      <c r="V59" s="4021"/>
      <c r="W59" s="4022"/>
      <c r="X59" s="4022"/>
      <c r="Y59" s="4022"/>
      <c r="Z59" s="4022"/>
      <c r="AA59" s="4022"/>
      <c r="AB59" s="4022"/>
      <c r="AC59" s="4023"/>
      <c r="AD59" s="4021" t="s">
        <v>654</v>
      </c>
      <c r="AE59" s="4022"/>
      <c r="AF59" s="4022"/>
      <c r="AG59" s="4022"/>
      <c r="AH59" s="4022"/>
      <c r="AI59" s="4022"/>
      <c r="AJ59" s="4022"/>
      <c r="AK59" s="4022"/>
      <c r="AL59" s="4023"/>
      <c r="AM59" s="1182" t="s">
        <v>613</v>
      </c>
      <c r="AN59" s="1566"/>
      <c r="AO59" s="1548"/>
      <c r="AP59" s="1548" t="str">
        <f t="shared" si="1"/>
        <v>Схема подключения теплопотребляющей установки к коллектору источника тепловой энергии</v>
      </c>
      <c r="AQ59" s="1548"/>
      <c r="AR59" s="1548"/>
      <c r="AS59" s="1559">
        <v>0</v>
      </c>
    </row>
    <row r="60" spans="1:45" s="1745" customFormat="1" ht="21" customHeight="1">
      <c r="A60" s="1287"/>
      <c r="B60" s="1287"/>
      <c r="C60" s="1287"/>
      <c r="D60" s="1287"/>
      <c r="E60" s="4034"/>
      <c r="F60" s="4034">
        <v>1</v>
      </c>
      <c r="G60" s="4034"/>
      <c r="H60" s="4034"/>
      <c r="I60" s="4036"/>
      <c r="J60" s="4035" t="str">
        <f>I59&amp;".1"</f>
        <v>1.2.1.1.1.1</v>
      </c>
      <c r="K60" s="1287"/>
      <c r="L60" s="1293" t="s">
        <v>614</v>
      </c>
      <c r="M60" s="1290"/>
      <c r="N60" s="1290"/>
      <c r="O60" s="1672"/>
      <c r="P60" s="4037"/>
      <c r="Q60" s="4037">
        <v>1</v>
      </c>
      <c r="R60" s="291"/>
      <c r="S60" s="1972" t="str">
        <f>$J60</f>
        <v>1.2.1.1.1.1</v>
      </c>
      <c r="T60" s="221" t="s">
        <v>615</v>
      </c>
      <c r="U60" s="235"/>
      <c r="V60" s="4021"/>
      <c r="W60" s="4022"/>
      <c r="X60" s="4022"/>
      <c r="Y60" s="4022"/>
      <c r="Z60" s="4022"/>
      <c r="AA60" s="4022"/>
      <c r="AB60" s="4022"/>
      <c r="AC60" s="4023"/>
      <c r="AD60" s="4021" t="s">
        <v>654</v>
      </c>
      <c r="AE60" s="4022"/>
      <c r="AF60" s="4022"/>
      <c r="AG60" s="4022"/>
      <c r="AH60" s="4022"/>
      <c r="AI60" s="4022"/>
      <c r="AJ60" s="4022"/>
      <c r="AK60" s="4022"/>
      <c r="AL60" s="4023"/>
      <c r="AM60" s="1182" t="s">
        <v>616</v>
      </c>
      <c r="AN60" s="1566"/>
      <c r="AO60" s="1548"/>
      <c r="AP60" s="1548" t="str">
        <f t="shared" si="1"/>
        <v>Группа потребителей</v>
      </c>
      <c r="AQ60" s="1548"/>
      <c r="AR60" s="1548"/>
      <c r="AS60" s="1559">
        <v>0</v>
      </c>
    </row>
    <row r="61" spans="1:45" s="1745" customFormat="1" ht="21" customHeight="1">
      <c r="A61" s="1287"/>
      <c r="B61" s="1287"/>
      <c r="C61" s="1287"/>
      <c r="D61" s="1287"/>
      <c r="E61" s="4034"/>
      <c r="F61" s="4034">
        <v>1</v>
      </c>
      <c r="G61" s="4034"/>
      <c r="H61" s="4034"/>
      <c r="I61" s="4036"/>
      <c r="J61" s="4036"/>
      <c r="K61" s="4035" t="str">
        <f>J60&amp;".1"</f>
        <v>1.2.1.1.1.1.1</v>
      </c>
      <c r="L61" s="1293" t="s">
        <v>617</v>
      </c>
      <c r="M61" s="1290"/>
      <c r="N61" s="1290"/>
      <c r="O61" s="1290"/>
      <c r="P61" s="4037"/>
      <c r="Q61" s="4037"/>
      <c r="R61" s="291">
        <v>1</v>
      </c>
      <c r="S61" s="1972" t="str">
        <f>$K61</f>
        <v>1.2.1.1.1.1.1</v>
      </c>
      <c r="T61" s="1271" t="s">
        <v>654</v>
      </c>
      <c r="U61" s="235"/>
      <c r="V61" s="685"/>
      <c r="W61" s="260"/>
      <c r="X61" s="685"/>
      <c r="Y61" s="1181"/>
      <c r="Z61" s="4038"/>
      <c r="AA61" s="3899" t="s">
        <v>53</v>
      </c>
      <c r="AB61" s="4038"/>
      <c r="AC61" s="3899" t="s">
        <v>53</v>
      </c>
      <c r="AD61" s="685">
        <v>4231</v>
      </c>
      <c r="AE61" s="260"/>
      <c r="AF61" s="685"/>
      <c r="AG61" s="1181"/>
      <c r="AH61" s="4038">
        <v>46023.597557870373</v>
      </c>
      <c r="AI61" s="3899" t="s">
        <v>53</v>
      </c>
      <c r="AJ61" s="4038">
        <v>46387.597673611112</v>
      </c>
      <c r="AK61" s="3899" t="s">
        <v>53</v>
      </c>
      <c r="AL61" s="260"/>
      <c r="AM61" s="4056" t="s">
        <v>618</v>
      </c>
      <c r="AN61" s="1566" t="e">
        <f ca="1">STRCHECKDATE(V62:AL62)</f>
        <v>#NAME?</v>
      </c>
      <c r="AO61" s="1548"/>
      <c r="AP61" s="1548" t="str">
        <f t="shared" si="1"/>
        <v>без дифференциации</v>
      </c>
      <c r="AQ61" s="1548"/>
      <c r="AR61" s="1548"/>
      <c r="AS61" s="1559">
        <v>0</v>
      </c>
    </row>
    <row r="62" spans="1:45" s="1745" customFormat="1" ht="0.75" customHeight="1">
      <c r="A62" s="1287"/>
      <c r="B62" s="1287"/>
      <c r="C62" s="1287"/>
      <c r="D62" s="1287"/>
      <c r="E62" s="4034"/>
      <c r="F62" s="4034">
        <v>1</v>
      </c>
      <c r="G62" s="4034"/>
      <c r="H62" s="4034"/>
      <c r="I62" s="4036"/>
      <c r="J62" s="4036"/>
      <c r="K62" s="4035"/>
      <c r="L62" s="1293"/>
      <c r="M62" s="1290"/>
      <c r="N62" s="1290"/>
      <c r="O62" s="1290"/>
      <c r="P62" s="4037"/>
      <c r="Q62" s="4037"/>
      <c r="R62" s="291"/>
      <c r="S62" s="1978"/>
      <c r="T62" s="235"/>
      <c r="U62" s="235"/>
      <c r="V62" s="260"/>
      <c r="W62" s="260"/>
      <c r="X62" s="260"/>
      <c r="Y62" s="263" t="str">
        <f>Z61&amp;"-"&amp;AB61</f>
        <v>-</v>
      </c>
      <c r="Z62" s="4039"/>
      <c r="AA62" s="3899"/>
      <c r="AB62" s="4039"/>
      <c r="AC62" s="3899"/>
      <c r="AD62" s="260"/>
      <c r="AE62" s="260"/>
      <c r="AF62" s="260"/>
      <c r="AG62" s="263" t="str">
        <f>AH61&amp;"-"&amp;AJ61</f>
        <v>46023,5975578704-46387,5976736111</v>
      </c>
      <c r="AH62" s="4039"/>
      <c r="AI62" s="3899"/>
      <c r="AJ62" s="4039"/>
      <c r="AK62" s="3899"/>
      <c r="AL62" s="260"/>
      <c r="AM62" s="4057"/>
      <c r="AN62" s="1566"/>
      <c r="AO62" s="1548"/>
      <c r="AP62" s="1548" t="str">
        <f t="shared" si="1"/>
        <v/>
      </c>
      <c r="AQ62" s="1548"/>
      <c r="AR62" s="1548"/>
      <c r="AS62" s="1559">
        <v>0</v>
      </c>
    </row>
    <row r="63" spans="1:45" s="1745" customFormat="1" ht="15" customHeight="1">
      <c r="A63" s="1287"/>
      <c r="B63" s="1287"/>
      <c r="C63" s="1287"/>
      <c r="D63" s="1287"/>
      <c r="E63" s="4034"/>
      <c r="F63" s="4034">
        <v>1</v>
      </c>
      <c r="G63" s="4034"/>
      <c r="H63" s="4034"/>
      <c r="I63" s="4036"/>
      <c r="J63" s="4035"/>
      <c r="K63" s="1287"/>
      <c r="L63" s="1293"/>
      <c r="M63" s="1290"/>
      <c r="N63" s="1290"/>
      <c r="O63" s="1672"/>
      <c r="P63" s="4037"/>
      <c r="Q63" s="4037"/>
      <c r="R63" s="290"/>
      <c r="S63" s="2115"/>
      <c r="T63" s="2116" t="s">
        <v>619</v>
      </c>
      <c r="U63" s="2117"/>
      <c r="V63" s="2118"/>
      <c r="W63" s="2119"/>
      <c r="X63" s="2120"/>
      <c r="Y63" s="2121"/>
      <c r="Z63" s="2122"/>
      <c r="AA63" s="2123"/>
      <c r="AB63" s="2124"/>
      <c r="AC63" s="2125"/>
      <c r="AD63" s="2126"/>
      <c r="AE63" s="2127"/>
      <c r="AF63" s="2128"/>
      <c r="AG63" s="2129"/>
      <c r="AH63" s="2130"/>
      <c r="AI63" s="2131"/>
      <c r="AJ63" s="2132"/>
      <c r="AK63" s="2133"/>
      <c r="AL63" s="2134"/>
      <c r="AM63" s="4058"/>
      <c r="AN63" s="1566"/>
      <c r="AO63" s="1548"/>
      <c r="AP63" s="1548" t="str">
        <f t="shared" si="1"/>
        <v>Добавить вид теплоносителя (параметры теплоносителя)</v>
      </c>
      <c r="AQ63" s="1548"/>
      <c r="AR63" s="1548"/>
      <c r="AS63" s="1559">
        <v>0</v>
      </c>
    </row>
    <row r="64" spans="1:45" s="1745" customFormat="1" ht="15" customHeight="1">
      <c r="A64" s="1287"/>
      <c r="B64" s="1287"/>
      <c r="C64" s="1287"/>
      <c r="D64" s="1287"/>
      <c r="E64" s="4034"/>
      <c r="F64" s="4034">
        <v>1</v>
      </c>
      <c r="G64" s="4034"/>
      <c r="H64" s="4034"/>
      <c r="I64" s="4035"/>
      <c r="J64" s="1287"/>
      <c r="K64" s="1287"/>
      <c r="L64" s="1293"/>
      <c r="M64" s="1290"/>
      <c r="N64" s="1672"/>
      <c r="O64" s="1672"/>
      <c r="P64" s="4037"/>
      <c r="Q64" s="1974"/>
      <c r="R64" s="290"/>
      <c r="S64" s="2135"/>
      <c r="T64" s="2136" t="s">
        <v>620</v>
      </c>
      <c r="U64" s="2137"/>
      <c r="V64" s="2138"/>
      <c r="W64" s="2139"/>
      <c r="X64" s="2140"/>
      <c r="Y64" s="2141"/>
      <c r="Z64" s="2142"/>
      <c r="AA64" s="2143"/>
      <c r="AB64" s="2144"/>
      <c r="AC64" s="2145"/>
      <c r="AD64" s="2146"/>
      <c r="AE64" s="2147"/>
      <c r="AF64" s="2148"/>
      <c r="AG64" s="2149"/>
      <c r="AH64" s="2150"/>
      <c r="AI64" s="2151"/>
      <c r="AJ64" s="2152"/>
      <c r="AK64" s="2153"/>
      <c r="AL64" s="2154"/>
      <c r="AM64" s="2155"/>
      <c r="AN64" s="1566"/>
      <c r="AO64" s="1548"/>
      <c r="AP64" s="1548" t="str">
        <f t="shared" si="1"/>
        <v>Добавить группу потребителей</v>
      </c>
      <c r="AQ64" s="1548"/>
      <c r="AR64" s="1548"/>
      <c r="AS64" s="1559">
        <v>0</v>
      </c>
    </row>
    <row r="65" spans="1:45" s="1745" customFormat="1" ht="14.25" customHeight="1">
      <c r="A65" s="1287"/>
      <c r="B65" s="1287"/>
      <c r="C65" s="1287"/>
      <c r="D65" s="1287"/>
      <c r="E65" s="4034"/>
      <c r="F65" s="4034">
        <v>1</v>
      </c>
      <c r="G65" s="4034"/>
      <c r="H65" s="4033"/>
      <c r="I65" s="1287"/>
      <c r="J65" s="1287"/>
      <c r="K65" s="1287"/>
      <c r="L65" s="1293"/>
      <c r="M65" s="1289"/>
      <c r="N65" s="1289"/>
      <c r="O65" s="1290"/>
      <c r="P65" s="1718"/>
      <c r="Q65" s="309"/>
      <c r="R65" s="289"/>
      <c r="S65" s="2156"/>
      <c r="T65" s="2157" t="s">
        <v>621</v>
      </c>
      <c r="U65" s="2158"/>
      <c r="V65" s="2159"/>
      <c r="W65" s="2160"/>
      <c r="X65" s="2161"/>
      <c r="Y65" s="2162"/>
      <c r="Z65" s="2163"/>
      <c r="AA65" s="2164"/>
      <c r="AB65" s="2165"/>
      <c r="AC65" s="2166"/>
      <c r="AD65" s="2167"/>
      <c r="AE65" s="2168"/>
      <c r="AF65" s="2169"/>
      <c r="AG65" s="2170"/>
      <c r="AH65" s="2171"/>
      <c r="AI65" s="2172"/>
      <c r="AJ65" s="2173"/>
      <c r="AK65" s="2174"/>
      <c r="AL65" s="2175"/>
      <c r="AM65" s="2176"/>
      <c r="AN65" s="1566"/>
      <c r="AO65" s="1548"/>
      <c r="AP65" s="1548" t="str">
        <f t="shared" si="1"/>
        <v>Добавить схему подключения</v>
      </c>
      <c r="AQ65" s="1548"/>
      <c r="AR65" s="1548"/>
      <c r="AS65" s="1559">
        <v>0</v>
      </c>
    </row>
    <row r="66" spans="1:45" s="556" customFormat="1" ht="0.75" customHeight="1">
      <c r="A66" s="1267"/>
      <c r="B66" s="1267"/>
      <c r="C66" s="1267"/>
      <c r="D66" s="1267"/>
      <c r="E66" s="4034"/>
      <c r="F66" s="4034">
        <v>1</v>
      </c>
      <c r="G66" s="4033"/>
      <c r="H66" s="1267"/>
      <c r="I66" s="1267"/>
      <c r="J66" s="1267"/>
      <c r="K66" s="1267"/>
      <c r="L66" s="1469"/>
      <c r="M66" s="1239"/>
      <c r="N66" s="1239"/>
      <c r="O66" s="1566"/>
      <c r="P66" s="1240"/>
      <c r="Q66" s="1268"/>
      <c r="R66" s="1240"/>
      <c r="S66" s="1242"/>
      <c r="T66" s="1243" t="s">
        <v>235</v>
      </c>
      <c r="U66" s="1244"/>
      <c r="V66" s="1244"/>
      <c r="W66" s="1244"/>
      <c r="X66" s="1244"/>
      <c r="Y66" s="1244"/>
      <c r="Z66" s="1244"/>
      <c r="AA66" s="1244"/>
      <c r="AB66" s="1244"/>
      <c r="AC66" s="1244"/>
      <c r="AD66" s="1244"/>
      <c r="AE66" s="1244"/>
      <c r="AF66" s="1244"/>
      <c r="AG66" s="1244"/>
      <c r="AH66" s="1244"/>
      <c r="AI66" s="1244"/>
      <c r="AJ66" s="1244"/>
      <c r="AK66" s="1244"/>
      <c r="AL66" s="1244"/>
      <c r="AM66" s="1244"/>
      <c r="AN66" s="1566"/>
      <c r="AO66" s="1548"/>
      <c r="AP66" s="1548" t="str">
        <f t="shared" si="1"/>
        <v>Добавить источник для дифференциации</v>
      </c>
      <c r="AQ66" s="1548"/>
      <c r="AR66" s="1548"/>
      <c r="AS66" s="1566">
        <v>0</v>
      </c>
    </row>
    <row r="67" spans="1:45" s="556" customFormat="1" ht="0.75" customHeight="1">
      <c r="A67" s="1267"/>
      <c r="B67" s="1267"/>
      <c r="C67" s="1267"/>
      <c r="D67" s="1267"/>
      <c r="E67" s="4034"/>
      <c r="F67" s="4033">
        <v>1</v>
      </c>
      <c r="G67" s="1267"/>
      <c r="H67" s="1267"/>
      <c r="I67" s="1267"/>
      <c r="J67" s="1267"/>
      <c r="K67" s="1267"/>
      <c r="L67" s="1469"/>
      <c r="M67" s="1245"/>
      <c r="N67" s="1245"/>
      <c r="O67" s="1566"/>
      <c r="P67" s="1240"/>
      <c r="Q67" s="1268"/>
      <c r="R67" s="1240"/>
      <c r="S67" s="1246"/>
      <c r="T67" s="1247" t="s">
        <v>236</v>
      </c>
      <c r="U67" s="1248"/>
      <c r="V67" s="1248"/>
      <c r="W67" s="1248"/>
      <c r="X67" s="1248"/>
      <c r="Y67" s="1248"/>
      <c r="Z67" s="1248"/>
      <c r="AA67" s="1248"/>
      <c r="AB67" s="1248"/>
      <c r="AC67" s="1248"/>
      <c r="AD67" s="1248"/>
      <c r="AE67" s="1248"/>
      <c r="AF67" s="1248"/>
      <c r="AG67" s="1248"/>
      <c r="AH67" s="1248"/>
      <c r="AI67" s="1248"/>
      <c r="AJ67" s="1248"/>
      <c r="AK67" s="1248"/>
      <c r="AL67" s="1248"/>
      <c r="AM67" s="1248"/>
      <c r="AN67" s="1566"/>
      <c r="AO67" s="1548"/>
      <c r="AP67" s="1548" t="str">
        <f t="shared" si="1"/>
        <v>Добавить централизованную систему для дифференциации</v>
      </c>
      <c r="AQ67" s="1548"/>
      <c r="AR67" s="1548"/>
      <c r="AS67" s="1566">
        <v>0</v>
      </c>
    </row>
    <row r="68" spans="1:45" s="1745" customFormat="1" ht="21" customHeight="1">
      <c r="A68" s="1287"/>
      <c r="B68" s="1287" t="s">
        <v>242</v>
      </c>
      <c r="C68" s="1287"/>
      <c r="D68" s="1287"/>
      <c r="E68" s="4034"/>
      <c r="F68" s="4033" t="s">
        <v>77</v>
      </c>
      <c r="G68" s="1287"/>
      <c r="H68" s="1287"/>
      <c r="I68" s="1287"/>
      <c r="J68" s="1287"/>
      <c r="K68" s="1287"/>
      <c r="L68" s="1293"/>
      <c r="M68" s="1289"/>
      <c r="N68" s="1289"/>
      <c r="O68" s="1289"/>
      <c r="P68" s="1970"/>
      <c r="Q68" s="286"/>
      <c r="R68" s="287"/>
      <c r="S68" s="1972" t="str">
        <f>INDEX(PT_DIFFERENTIATION_NUM_TER,MATCH(B68,PT_DIFFERENTIATION_TER_ID,0))</f>
        <v>1.3</v>
      </c>
      <c r="T68" s="1446" t="s">
        <v>605</v>
      </c>
      <c r="U68" s="235"/>
      <c r="V68" s="4027"/>
      <c r="W68" s="4028"/>
      <c r="X68" s="4028"/>
      <c r="Y68" s="4028"/>
      <c r="Z68" s="4028"/>
      <c r="AA68" s="4028"/>
      <c r="AB68" s="4028"/>
      <c r="AC68" s="4029"/>
      <c r="AD68" s="4027" t="str">
        <f>INDEX(PT_DIFFERENTIATION_TER,MATCH(B68,PT_DIFFERENTIATION_TER_ID,0))</f>
        <v>Территория 3</v>
      </c>
      <c r="AE68" s="4028"/>
      <c r="AF68" s="4028"/>
      <c r="AG68" s="4028"/>
      <c r="AH68" s="4028"/>
      <c r="AI68" s="4028"/>
      <c r="AJ68" s="4028"/>
      <c r="AK68" s="4028"/>
      <c r="AL68" s="4029"/>
      <c r="AM68" s="1182" t="s">
        <v>606</v>
      </c>
      <c r="AN68" s="1566"/>
      <c r="AO68" s="1548"/>
      <c r="AP68" s="1548" t="str">
        <f t="shared" si="1"/>
        <v>Территория действия тарифа</v>
      </c>
      <c r="AQ68" s="1548"/>
      <c r="AR68" s="1548"/>
      <c r="AS68" s="1559">
        <v>0</v>
      </c>
    </row>
    <row r="69" spans="1:45" s="1745" customFormat="1" ht="23.25" customHeight="1">
      <c r="A69" s="1287"/>
      <c r="B69" s="1287"/>
      <c r="C69" s="1287" t="s">
        <v>243</v>
      </c>
      <c r="D69" s="1287"/>
      <c r="E69" s="4034"/>
      <c r="F69" s="4034" t="s">
        <v>89</v>
      </c>
      <c r="G69" s="4033">
        <v>1</v>
      </c>
      <c r="H69" s="1287"/>
      <c r="I69" s="1287"/>
      <c r="J69" s="1287"/>
      <c r="K69" s="1287"/>
      <c r="L69" s="1293"/>
      <c r="M69" s="1289"/>
      <c r="N69" s="1289"/>
      <c r="O69" s="1289"/>
      <c r="P69" s="288"/>
      <c r="Q69" s="286"/>
      <c r="R69" s="287"/>
      <c r="S69" s="1972" t="str">
        <f>INDEX(PT_DIFFERENTIATION_NUM_CS,MATCH(C69,PT_DIFFERENTIATION_CS_ID,0))</f>
        <v>1.3.1</v>
      </c>
      <c r="T69" s="244" t="s">
        <v>607</v>
      </c>
      <c r="U69" s="235"/>
      <c r="V69" s="4027"/>
      <c r="W69" s="4028"/>
      <c r="X69" s="4028"/>
      <c r="Y69" s="4028"/>
      <c r="Z69" s="4028"/>
      <c r="AA69" s="4028"/>
      <c r="AB69" s="4028"/>
      <c r="AC69" s="4029"/>
      <c r="AD69" s="4027" t="str">
        <f>INDEX(PT_DIFFERENTIATION_CS,MATCH(C69,PT_DIFFERENTIATION_CS_ID,0))</f>
        <v>Рославльский филиал</v>
      </c>
      <c r="AE69" s="4028"/>
      <c r="AF69" s="4028"/>
      <c r="AG69" s="4028"/>
      <c r="AH69" s="4028"/>
      <c r="AI69" s="4028"/>
      <c r="AJ69" s="4028"/>
      <c r="AK69" s="4028"/>
      <c r="AL69" s="4029"/>
      <c r="AM69" s="1182" t="s">
        <v>608</v>
      </c>
      <c r="AN69" s="1566"/>
      <c r="AO69" s="1548"/>
      <c r="AP69" s="1548" t="str">
        <f t="shared" si="1"/>
        <v xml:space="preserve">Наименование системы теплоснабжения </v>
      </c>
      <c r="AQ69" s="1548"/>
      <c r="AR69" s="1548"/>
      <c r="AS69" s="1559">
        <v>0</v>
      </c>
    </row>
    <row r="70" spans="1:45" s="1745" customFormat="1" ht="21" customHeight="1">
      <c r="A70" s="1287"/>
      <c r="B70" s="1287"/>
      <c r="C70" s="1287"/>
      <c r="D70" s="1287" t="s">
        <v>244</v>
      </c>
      <c r="E70" s="4034"/>
      <c r="F70" s="4034" t="s">
        <v>89</v>
      </c>
      <c r="G70" s="4034"/>
      <c r="H70" s="4033">
        <v>1</v>
      </c>
      <c r="I70" s="1287"/>
      <c r="J70" s="1287"/>
      <c r="K70" s="1287"/>
      <c r="L70" s="1293"/>
      <c r="M70" s="1289"/>
      <c r="N70" s="1289"/>
      <c r="O70" s="1289"/>
      <c r="P70" s="288"/>
      <c r="Q70" s="286"/>
      <c r="R70" s="287"/>
      <c r="S70" s="1972" t="str">
        <f>INDEX(PT_DIFFERENTIATION_NUM_IST_TE,MATCH(D70,PT_DIFFERENTIATION_IST_TE_ID,0))</f>
        <v>1.3.1.1</v>
      </c>
      <c r="T70" s="245" t="s">
        <v>609</v>
      </c>
      <c r="U70" s="235"/>
      <c r="V70" s="4027"/>
      <c r="W70" s="4028"/>
      <c r="X70" s="4028"/>
      <c r="Y70" s="4028"/>
      <c r="Z70" s="4028"/>
      <c r="AA70" s="4028"/>
      <c r="AB70" s="4028"/>
      <c r="AC70" s="4029"/>
      <c r="AD70" s="4027" t="str">
        <f>INDEX(PT_DIFFERENTIATION_IST_TE,MATCH(D70,PT_DIFFERENTIATION_IST_TE_ID,0))</f>
        <v>без дифференциации</v>
      </c>
      <c r="AE70" s="4028"/>
      <c r="AF70" s="4028"/>
      <c r="AG70" s="4028"/>
      <c r="AH70" s="4028"/>
      <c r="AI70" s="4028"/>
      <c r="AJ70" s="4028"/>
      <c r="AK70" s="4028"/>
      <c r="AL70" s="4029"/>
      <c r="AM70" s="1182" t="s">
        <v>610</v>
      </c>
      <c r="AN70" s="1566"/>
      <c r="AO70" s="1548"/>
      <c r="AP70" s="1548" t="str">
        <f t="shared" si="1"/>
        <v xml:space="preserve">Источник тепловой энергии  </v>
      </c>
      <c r="AQ70" s="1548"/>
      <c r="AR70" s="1548"/>
      <c r="AS70" s="1559">
        <v>0</v>
      </c>
    </row>
    <row r="71" spans="1:45" s="1745" customFormat="1" ht="47.25" customHeight="1">
      <c r="A71" s="1287"/>
      <c r="B71" s="1287"/>
      <c r="C71" s="1287"/>
      <c r="D71" s="1287"/>
      <c r="E71" s="4034"/>
      <c r="F71" s="4034" t="s">
        <v>89</v>
      </c>
      <c r="G71" s="4034"/>
      <c r="H71" s="4034"/>
      <c r="I71" s="4035" t="str">
        <f>S70&amp;".1"</f>
        <v>1.3.1.1.1</v>
      </c>
      <c r="J71" s="1287"/>
      <c r="K71" s="1287"/>
      <c r="L71" s="1293" t="s">
        <v>611</v>
      </c>
      <c r="M71" s="1290"/>
      <c r="N71" s="1672"/>
      <c r="O71" s="1672"/>
      <c r="P71" s="4037">
        <v>1</v>
      </c>
      <c r="Q71" s="1974"/>
      <c r="R71" s="290"/>
      <c r="S71" s="1972" t="str">
        <f>$I71</f>
        <v>1.3.1.1.1</v>
      </c>
      <c r="T71" s="220" t="s">
        <v>612</v>
      </c>
      <c r="U71" s="235"/>
      <c r="V71" s="4021"/>
      <c r="W71" s="4022"/>
      <c r="X71" s="4022"/>
      <c r="Y71" s="4022"/>
      <c r="Z71" s="4022"/>
      <c r="AA71" s="4022"/>
      <c r="AB71" s="4022"/>
      <c r="AC71" s="4023"/>
      <c r="AD71" s="4021" t="s">
        <v>654</v>
      </c>
      <c r="AE71" s="4022"/>
      <c r="AF71" s="4022"/>
      <c r="AG71" s="4022"/>
      <c r="AH71" s="4022"/>
      <c r="AI71" s="4022"/>
      <c r="AJ71" s="4022"/>
      <c r="AK71" s="4022"/>
      <c r="AL71" s="4023"/>
      <c r="AM71" s="1182" t="s">
        <v>613</v>
      </c>
      <c r="AN71" s="1566"/>
      <c r="AO71" s="1548"/>
      <c r="AP71" s="1548" t="str">
        <f t="shared" si="1"/>
        <v>Схема подключения теплопотребляющей установки к коллектору источника тепловой энергии</v>
      </c>
      <c r="AQ71" s="1548"/>
      <c r="AR71" s="1548"/>
      <c r="AS71" s="1559">
        <v>0</v>
      </c>
    </row>
    <row r="72" spans="1:45" s="1745" customFormat="1" ht="21" customHeight="1">
      <c r="A72" s="1287"/>
      <c r="B72" s="1287"/>
      <c r="C72" s="1287"/>
      <c r="D72" s="1287"/>
      <c r="E72" s="4034"/>
      <c r="F72" s="4034" t="s">
        <v>89</v>
      </c>
      <c r="G72" s="4034"/>
      <c r="H72" s="4034"/>
      <c r="I72" s="4036"/>
      <c r="J72" s="4035" t="str">
        <f>I71&amp;".1"</f>
        <v>1.3.1.1.1.1</v>
      </c>
      <c r="K72" s="1287"/>
      <c r="L72" s="1293" t="s">
        <v>614</v>
      </c>
      <c r="M72" s="1290"/>
      <c r="N72" s="1290"/>
      <c r="O72" s="1672"/>
      <c r="P72" s="4037"/>
      <c r="Q72" s="4037">
        <v>1</v>
      </c>
      <c r="R72" s="291"/>
      <c r="S72" s="1972" t="str">
        <f>$J72</f>
        <v>1.3.1.1.1.1</v>
      </c>
      <c r="T72" s="221" t="s">
        <v>615</v>
      </c>
      <c r="U72" s="235"/>
      <c r="V72" s="4021"/>
      <c r="W72" s="4022"/>
      <c r="X72" s="4022"/>
      <c r="Y72" s="4022"/>
      <c r="Z72" s="4022"/>
      <c r="AA72" s="4022"/>
      <c r="AB72" s="4022"/>
      <c r="AC72" s="4023"/>
      <c r="AD72" s="4021" t="s">
        <v>654</v>
      </c>
      <c r="AE72" s="4022"/>
      <c r="AF72" s="4022"/>
      <c r="AG72" s="4022"/>
      <c r="AH72" s="4022"/>
      <c r="AI72" s="4022"/>
      <c r="AJ72" s="4022"/>
      <c r="AK72" s="4022"/>
      <c r="AL72" s="4023"/>
      <c r="AM72" s="1182" t="s">
        <v>616</v>
      </c>
      <c r="AN72" s="1566"/>
      <c r="AO72" s="1548"/>
      <c r="AP72" s="1548" t="str">
        <f t="shared" si="1"/>
        <v>Группа потребителей</v>
      </c>
      <c r="AQ72" s="1548"/>
      <c r="AR72" s="1548"/>
      <c r="AS72" s="1559">
        <v>0</v>
      </c>
    </row>
    <row r="73" spans="1:45" s="1745" customFormat="1" ht="21" customHeight="1">
      <c r="A73" s="1287"/>
      <c r="B73" s="1287"/>
      <c r="C73" s="1287"/>
      <c r="D73" s="1287"/>
      <c r="E73" s="4034"/>
      <c r="F73" s="4034" t="s">
        <v>89</v>
      </c>
      <c r="G73" s="4034"/>
      <c r="H73" s="4034"/>
      <c r="I73" s="4036"/>
      <c r="J73" s="4036"/>
      <c r="K73" s="4035" t="str">
        <f>J72&amp;".1"</f>
        <v>1.3.1.1.1.1.1</v>
      </c>
      <c r="L73" s="1293" t="s">
        <v>617</v>
      </c>
      <c r="M73" s="1290"/>
      <c r="N73" s="1290"/>
      <c r="O73" s="1290"/>
      <c r="P73" s="4037"/>
      <c r="Q73" s="4037"/>
      <c r="R73" s="291">
        <v>1</v>
      </c>
      <c r="S73" s="1972" t="str">
        <f>$K73</f>
        <v>1.3.1.1.1.1.1</v>
      </c>
      <c r="T73" s="1271" t="s">
        <v>654</v>
      </c>
      <c r="U73" s="235"/>
      <c r="V73" s="685"/>
      <c r="W73" s="260"/>
      <c r="X73" s="685"/>
      <c r="Y73" s="1181"/>
      <c r="Z73" s="4038"/>
      <c r="AA73" s="3899" t="s">
        <v>53</v>
      </c>
      <c r="AB73" s="4038"/>
      <c r="AC73" s="3899" t="s">
        <v>53</v>
      </c>
      <c r="AD73" s="685">
        <v>5210.53</v>
      </c>
      <c r="AE73" s="260"/>
      <c r="AF73" s="685"/>
      <c r="AG73" s="1181"/>
      <c r="AH73" s="4038">
        <v>46023.597812499997</v>
      </c>
      <c r="AI73" s="3899" t="s">
        <v>53</v>
      </c>
      <c r="AJ73" s="4038">
        <v>46387.597916666666</v>
      </c>
      <c r="AK73" s="3899" t="s">
        <v>53</v>
      </c>
      <c r="AL73" s="260"/>
      <c r="AM73" s="4056" t="s">
        <v>618</v>
      </c>
      <c r="AN73" s="1566" t="e">
        <f ca="1">STRCHECKDATE(V74:AL74)</f>
        <v>#NAME?</v>
      </c>
      <c r="AO73" s="1548"/>
      <c r="AP73" s="1548" t="str">
        <f t="shared" si="1"/>
        <v>без дифференциации</v>
      </c>
      <c r="AQ73" s="1548"/>
      <c r="AR73" s="1548"/>
      <c r="AS73" s="1559">
        <v>0</v>
      </c>
    </row>
    <row r="74" spans="1:45" s="1745" customFormat="1" ht="0.75" customHeight="1">
      <c r="A74" s="1287"/>
      <c r="B74" s="1287"/>
      <c r="C74" s="1287"/>
      <c r="D74" s="1287"/>
      <c r="E74" s="4034"/>
      <c r="F74" s="4034" t="s">
        <v>89</v>
      </c>
      <c r="G74" s="4034"/>
      <c r="H74" s="4034"/>
      <c r="I74" s="4036"/>
      <c r="J74" s="4036"/>
      <c r="K74" s="4035"/>
      <c r="L74" s="1293"/>
      <c r="M74" s="1290"/>
      <c r="N74" s="1290"/>
      <c r="O74" s="1290"/>
      <c r="P74" s="4037"/>
      <c r="Q74" s="4037"/>
      <c r="R74" s="291"/>
      <c r="S74" s="1978"/>
      <c r="T74" s="235"/>
      <c r="U74" s="235"/>
      <c r="V74" s="260"/>
      <c r="W74" s="260"/>
      <c r="X74" s="260"/>
      <c r="Y74" s="263" t="str">
        <f>Z73&amp;"-"&amp;AB73</f>
        <v>-</v>
      </c>
      <c r="Z74" s="4039"/>
      <c r="AA74" s="3899"/>
      <c r="AB74" s="4039"/>
      <c r="AC74" s="3899"/>
      <c r="AD74" s="260"/>
      <c r="AE74" s="260"/>
      <c r="AF74" s="260"/>
      <c r="AG74" s="263" t="str">
        <f>AH73&amp;"-"&amp;AJ73</f>
        <v>46023,5978125-46387,5979166667</v>
      </c>
      <c r="AH74" s="4039"/>
      <c r="AI74" s="3899"/>
      <c r="AJ74" s="4039"/>
      <c r="AK74" s="3899"/>
      <c r="AL74" s="260"/>
      <c r="AM74" s="4057"/>
      <c r="AN74" s="1566"/>
      <c r="AO74" s="1548"/>
      <c r="AP74" s="1548" t="str">
        <f t="shared" si="1"/>
        <v/>
      </c>
      <c r="AQ74" s="1548"/>
      <c r="AR74" s="1548"/>
      <c r="AS74" s="1559">
        <v>0</v>
      </c>
    </row>
    <row r="75" spans="1:45" s="1745" customFormat="1" ht="15" customHeight="1">
      <c r="A75" s="1287"/>
      <c r="B75" s="1287"/>
      <c r="C75" s="1287"/>
      <c r="D75" s="1287"/>
      <c r="E75" s="4034"/>
      <c r="F75" s="4034" t="s">
        <v>89</v>
      </c>
      <c r="G75" s="4034"/>
      <c r="H75" s="4034"/>
      <c r="I75" s="4036"/>
      <c r="J75" s="4035"/>
      <c r="K75" s="1287"/>
      <c r="L75" s="1293"/>
      <c r="M75" s="1290"/>
      <c r="N75" s="1290"/>
      <c r="O75" s="1672"/>
      <c r="P75" s="4037"/>
      <c r="Q75" s="4037"/>
      <c r="R75" s="290"/>
      <c r="S75" s="2177"/>
      <c r="T75" s="2178" t="s">
        <v>619</v>
      </c>
      <c r="U75" s="2179"/>
      <c r="V75" s="2180"/>
      <c r="W75" s="2181"/>
      <c r="X75" s="2182"/>
      <c r="Y75" s="2183"/>
      <c r="Z75" s="2184"/>
      <c r="AA75" s="2185"/>
      <c r="AB75" s="2186"/>
      <c r="AC75" s="2187"/>
      <c r="AD75" s="2188"/>
      <c r="AE75" s="2189"/>
      <c r="AF75" s="2190"/>
      <c r="AG75" s="2191"/>
      <c r="AH75" s="2192"/>
      <c r="AI75" s="2193"/>
      <c r="AJ75" s="2194"/>
      <c r="AK75" s="2195"/>
      <c r="AL75" s="2196"/>
      <c r="AM75" s="4058"/>
      <c r="AN75" s="1566"/>
      <c r="AO75" s="1548"/>
      <c r="AP75" s="1548" t="str">
        <f t="shared" ref="AP75:AP106" si="2">IF(T75="","",T75)</f>
        <v>Добавить вид теплоносителя (параметры теплоносителя)</v>
      </c>
      <c r="AQ75" s="1548"/>
      <c r="AR75" s="1548"/>
      <c r="AS75" s="1559">
        <v>0</v>
      </c>
    </row>
    <row r="76" spans="1:45" s="1745" customFormat="1" ht="15" customHeight="1">
      <c r="A76" s="1287"/>
      <c r="B76" s="1287"/>
      <c r="C76" s="1287"/>
      <c r="D76" s="1287"/>
      <c r="E76" s="4034"/>
      <c r="F76" s="4034" t="s">
        <v>89</v>
      </c>
      <c r="G76" s="4034"/>
      <c r="H76" s="4034"/>
      <c r="I76" s="4035"/>
      <c r="J76" s="1287"/>
      <c r="K76" s="1287"/>
      <c r="L76" s="1293"/>
      <c r="M76" s="1290"/>
      <c r="N76" s="1672"/>
      <c r="O76" s="1672"/>
      <c r="P76" s="4037"/>
      <c r="Q76" s="1974"/>
      <c r="R76" s="290"/>
      <c r="S76" s="2197"/>
      <c r="T76" s="2198" t="s">
        <v>620</v>
      </c>
      <c r="U76" s="2199"/>
      <c r="V76" s="2200"/>
      <c r="W76" s="2201"/>
      <c r="X76" s="2202"/>
      <c r="Y76" s="2203"/>
      <c r="Z76" s="2204"/>
      <c r="AA76" s="2205"/>
      <c r="AB76" s="2206"/>
      <c r="AC76" s="2207"/>
      <c r="AD76" s="2208"/>
      <c r="AE76" s="2209"/>
      <c r="AF76" s="2210"/>
      <c r="AG76" s="2211"/>
      <c r="AH76" s="2212"/>
      <c r="AI76" s="2213"/>
      <c r="AJ76" s="2214"/>
      <c r="AK76" s="2215"/>
      <c r="AL76" s="2216"/>
      <c r="AM76" s="2217"/>
      <c r="AN76" s="1566"/>
      <c r="AO76" s="1548"/>
      <c r="AP76" s="1548" t="str">
        <f t="shared" si="2"/>
        <v>Добавить группу потребителей</v>
      </c>
      <c r="AQ76" s="1548"/>
      <c r="AR76" s="1548"/>
      <c r="AS76" s="1559">
        <v>0</v>
      </c>
    </row>
    <row r="77" spans="1:45" s="1745" customFormat="1" ht="14.25" customHeight="1">
      <c r="A77" s="1287"/>
      <c r="B77" s="1287"/>
      <c r="C77" s="1287"/>
      <c r="D77" s="1287"/>
      <c r="E77" s="4034"/>
      <c r="F77" s="4034" t="s">
        <v>89</v>
      </c>
      <c r="G77" s="4034"/>
      <c r="H77" s="4033"/>
      <c r="I77" s="1287"/>
      <c r="J77" s="1287"/>
      <c r="K77" s="1287"/>
      <c r="L77" s="1293"/>
      <c r="M77" s="1289"/>
      <c r="N77" s="1289"/>
      <c r="O77" s="1290"/>
      <c r="P77" s="1718"/>
      <c r="Q77" s="309"/>
      <c r="R77" s="289"/>
      <c r="S77" s="2218"/>
      <c r="T77" s="2219" t="s">
        <v>621</v>
      </c>
      <c r="U77" s="2220"/>
      <c r="V77" s="2221"/>
      <c r="W77" s="2222"/>
      <c r="X77" s="2223"/>
      <c r="Y77" s="2224"/>
      <c r="Z77" s="2225"/>
      <c r="AA77" s="2226"/>
      <c r="AB77" s="2227"/>
      <c r="AC77" s="2228"/>
      <c r="AD77" s="2229"/>
      <c r="AE77" s="2230"/>
      <c r="AF77" s="2231"/>
      <c r="AG77" s="2232"/>
      <c r="AH77" s="2233"/>
      <c r="AI77" s="2234"/>
      <c r="AJ77" s="2235"/>
      <c r="AK77" s="2236"/>
      <c r="AL77" s="2237"/>
      <c r="AM77" s="2238"/>
      <c r="AN77" s="1566"/>
      <c r="AO77" s="1548"/>
      <c r="AP77" s="1548" t="str">
        <f t="shared" si="2"/>
        <v>Добавить схему подключения</v>
      </c>
      <c r="AQ77" s="1548"/>
      <c r="AR77" s="1548"/>
      <c r="AS77" s="1559">
        <v>0</v>
      </c>
    </row>
    <row r="78" spans="1:45" s="556" customFormat="1" ht="0.75" customHeight="1">
      <c r="A78" s="1267"/>
      <c r="B78" s="1267"/>
      <c r="C78" s="1267"/>
      <c r="D78" s="1267"/>
      <c r="E78" s="4034"/>
      <c r="F78" s="4034" t="s">
        <v>89</v>
      </c>
      <c r="G78" s="4033"/>
      <c r="H78" s="1267"/>
      <c r="I78" s="1267"/>
      <c r="J78" s="1267"/>
      <c r="K78" s="1267"/>
      <c r="L78" s="1469"/>
      <c r="M78" s="1239"/>
      <c r="N78" s="1239"/>
      <c r="O78" s="1566"/>
      <c r="P78" s="1240"/>
      <c r="Q78" s="1268"/>
      <c r="R78" s="1240"/>
      <c r="S78" s="1242"/>
      <c r="T78" s="1243" t="s">
        <v>235</v>
      </c>
      <c r="U78" s="1244"/>
      <c r="V78" s="1244"/>
      <c r="W78" s="1244"/>
      <c r="X78" s="1244"/>
      <c r="Y78" s="1244"/>
      <c r="Z78" s="1244"/>
      <c r="AA78" s="1244"/>
      <c r="AB78" s="1244"/>
      <c r="AC78" s="1244"/>
      <c r="AD78" s="1244"/>
      <c r="AE78" s="1244"/>
      <c r="AF78" s="1244"/>
      <c r="AG78" s="1244"/>
      <c r="AH78" s="1244"/>
      <c r="AI78" s="1244"/>
      <c r="AJ78" s="1244"/>
      <c r="AK78" s="1244"/>
      <c r="AL78" s="1244"/>
      <c r="AM78" s="1244"/>
      <c r="AN78" s="1566"/>
      <c r="AO78" s="1548"/>
      <c r="AP78" s="1548" t="str">
        <f t="shared" si="2"/>
        <v>Добавить источник для дифференциации</v>
      </c>
      <c r="AQ78" s="1548"/>
      <c r="AR78" s="1548"/>
      <c r="AS78" s="1566">
        <v>0</v>
      </c>
    </row>
    <row r="79" spans="1:45" s="556" customFormat="1" ht="0.75" customHeight="1">
      <c r="A79" s="1267"/>
      <c r="B79" s="1267"/>
      <c r="C79" s="1267"/>
      <c r="D79" s="1267"/>
      <c r="E79" s="4034"/>
      <c r="F79" s="4033" t="s">
        <v>89</v>
      </c>
      <c r="G79" s="1267"/>
      <c r="H79" s="1267"/>
      <c r="I79" s="1267"/>
      <c r="J79" s="1267"/>
      <c r="K79" s="1267"/>
      <c r="L79" s="1469"/>
      <c r="M79" s="1245"/>
      <c r="N79" s="1245"/>
      <c r="O79" s="1566"/>
      <c r="P79" s="1240"/>
      <c r="Q79" s="1268"/>
      <c r="R79" s="1240"/>
      <c r="S79" s="1246"/>
      <c r="T79" s="1247" t="s">
        <v>236</v>
      </c>
      <c r="U79" s="1248"/>
      <c r="V79" s="1248"/>
      <c r="W79" s="1248"/>
      <c r="X79" s="1248"/>
      <c r="Y79" s="1248"/>
      <c r="Z79" s="1248"/>
      <c r="AA79" s="1248"/>
      <c r="AB79" s="1248"/>
      <c r="AC79" s="1248"/>
      <c r="AD79" s="1248"/>
      <c r="AE79" s="1248"/>
      <c r="AF79" s="1248"/>
      <c r="AG79" s="1248"/>
      <c r="AH79" s="1248"/>
      <c r="AI79" s="1248"/>
      <c r="AJ79" s="1248"/>
      <c r="AK79" s="1248"/>
      <c r="AL79" s="1248"/>
      <c r="AM79" s="1248"/>
      <c r="AN79" s="1566"/>
      <c r="AO79" s="1548"/>
      <c r="AP79" s="1548" t="str">
        <f t="shared" si="2"/>
        <v>Добавить централизованную систему для дифференциации</v>
      </c>
      <c r="AQ79" s="1548"/>
      <c r="AR79" s="1548"/>
      <c r="AS79" s="1566">
        <v>0</v>
      </c>
    </row>
    <row r="80" spans="1:45" s="1745" customFormat="1" ht="21" customHeight="1">
      <c r="A80" s="1287"/>
      <c r="B80" s="1287" t="s">
        <v>246</v>
      </c>
      <c r="C80" s="1287"/>
      <c r="D80" s="1287"/>
      <c r="E80" s="4034"/>
      <c r="F80" s="4033" t="s">
        <v>78</v>
      </c>
      <c r="G80" s="1287"/>
      <c r="H80" s="1287"/>
      <c r="I80" s="1287"/>
      <c r="J80" s="1287"/>
      <c r="K80" s="1287"/>
      <c r="L80" s="1293"/>
      <c r="M80" s="1289"/>
      <c r="N80" s="1289"/>
      <c r="O80" s="1289"/>
      <c r="P80" s="1970"/>
      <c r="Q80" s="286"/>
      <c r="R80" s="287"/>
      <c r="S80" s="1972" t="str">
        <f>INDEX(PT_DIFFERENTIATION_NUM_TER,MATCH(B80,PT_DIFFERENTIATION_TER_ID,0))</f>
        <v>1.4</v>
      </c>
      <c r="T80" s="1446" t="s">
        <v>605</v>
      </c>
      <c r="U80" s="235"/>
      <c r="V80" s="4027"/>
      <c r="W80" s="4028"/>
      <c r="X80" s="4028"/>
      <c r="Y80" s="4028"/>
      <c r="Z80" s="4028"/>
      <c r="AA80" s="4028"/>
      <c r="AB80" s="4028"/>
      <c r="AC80" s="4029"/>
      <c r="AD80" s="4027" t="str">
        <f>INDEX(PT_DIFFERENTIATION_TER,MATCH(B80,PT_DIFFERENTIATION_TER_ID,0))</f>
        <v>Территория 4</v>
      </c>
      <c r="AE80" s="4028"/>
      <c r="AF80" s="4028"/>
      <c r="AG80" s="4028"/>
      <c r="AH80" s="4028"/>
      <c r="AI80" s="4028"/>
      <c r="AJ80" s="4028"/>
      <c r="AK80" s="4028"/>
      <c r="AL80" s="4029"/>
      <c r="AM80" s="1182" t="s">
        <v>606</v>
      </c>
      <c r="AN80" s="1566"/>
      <c r="AO80" s="1548"/>
      <c r="AP80" s="1548" t="str">
        <f t="shared" si="2"/>
        <v>Территория действия тарифа</v>
      </c>
      <c r="AQ80" s="1548"/>
      <c r="AR80" s="1548"/>
      <c r="AS80" s="1559">
        <v>0</v>
      </c>
    </row>
    <row r="81" spans="1:45" s="1745" customFormat="1" ht="23.25" customHeight="1">
      <c r="A81" s="1287"/>
      <c r="B81" s="1287"/>
      <c r="C81" s="1287" t="s">
        <v>247</v>
      </c>
      <c r="D81" s="1287"/>
      <c r="E81" s="4034"/>
      <c r="F81" s="4034" t="s">
        <v>77</v>
      </c>
      <c r="G81" s="4033">
        <v>1</v>
      </c>
      <c r="H81" s="1287"/>
      <c r="I81" s="1287"/>
      <c r="J81" s="1287"/>
      <c r="K81" s="1287"/>
      <c r="L81" s="1293"/>
      <c r="M81" s="1289"/>
      <c r="N81" s="1289"/>
      <c r="O81" s="1289"/>
      <c r="P81" s="288"/>
      <c r="Q81" s="286"/>
      <c r="R81" s="287"/>
      <c r="S81" s="1972" t="str">
        <f>INDEX(PT_DIFFERENTIATION_NUM_CS,MATCH(C81,PT_DIFFERENTIATION_CS_ID,0))</f>
        <v>1.4.1</v>
      </c>
      <c r="T81" s="244" t="s">
        <v>607</v>
      </c>
      <c r="U81" s="235"/>
      <c r="V81" s="4027"/>
      <c r="W81" s="4028"/>
      <c r="X81" s="4028"/>
      <c r="Y81" s="4028"/>
      <c r="Z81" s="4028"/>
      <c r="AA81" s="4028"/>
      <c r="AB81" s="4028"/>
      <c r="AC81" s="4029"/>
      <c r="AD81" s="4027" t="str">
        <f>INDEX(PT_DIFFERENTIATION_CS,MATCH(C81,PT_DIFFERENTIATION_CS_ID,0))</f>
        <v>котельная г. Рославль ул. Мичурина</v>
      </c>
      <c r="AE81" s="4028"/>
      <c r="AF81" s="4028"/>
      <c r="AG81" s="4028"/>
      <c r="AH81" s="4028"/>
      <c r="AI81" s="4028"/>
      <c r="AJ81" s="4028"/>
      <c r="AK81" s="4028"/>
      <c r="AL81" s="4029"/>
      <c r="AM81" s="1182" t="s">
        <v>608</v>
      </c>
      <c r="AN81" s="1566"/>
      <c r="AO81" s="1548"/>
      <c r="AP81" s="1548" t="str">
        <f t="shared" si="2"/>
        <v xml:space="preserve">Наименование системы теплоснабжения </v>
      </c>
      <c r="AQ81" s="1548"/>
      <c r="AR81" s="1548"/>
      <c r="AS81" s="1559">
        <v>0</v>
      </c>
    </row>
    <row r="82" spans="1:45" s="1745" customFormat="1" ht="21" customHeight="1">
      <c r="A82" s="1287"/>
      <c r="B82" s="1287"/>
      <c r="C82" s="1287"/>
      <c r="D82" s="1287" t="s">
        <v>248</v>
      </c>
      <c r="E82" s="4034"/>
      <c r="F82" s="4034" t="s">
        <v>77</v>
      </c>
      <c r="G82" s="4034"/>
      <c r="H82" s="4033">
        <v>1</v>
      </c>
      <c r="I82" s="1287"/>
      <c r="J82" s="1287"/>
      <c r="K82" s="1287"/>
      <c r="L82" s="1293"/>
      <c r="M82" s="1289"/>
      <c r="N82" s="1289"/>
      <c r="O82" s="1289"/>
      <c r="P82" s="288"/>
      <c r="Q82" s="286"/>
      <c r="R82" s="287"/>
      <c r="S82" s="1972" t="str">
        <f>INDEX(PT_DIFFERENTIATION_NUM_IST_TE,MATCH(D82,PT_DIFFERENTIATION_IST_TE_ID,0))</f>
        <v>1.4.1.1</v>
      </c>
      <c r="T82" s="245" t="s">
        <v>609</v>
      </c>
      <c r="U82" s="235"/>
      <c r="V82" s="4027"/>
      <c r="W82" s="4028"/>
      <c r="X82" s="4028"/>
      <c r="Y82" s="4028"/>
      <c r="Z82" s="4028"/>
      <c r="AA82" s="4028"/>
      <c r="AB82" s="4028"/>
      <c r="AC82" s="4029"/>
      <c r="AD82" s="4027" t="str">
        <f>INDEX(PT_DIFFERENTIATION_IST_TE,MATCH(D82,PT_DIFFERENTIATION_IST_TE_ID,0))</f>
        <v>без дифференциации</v>
      </c>
      <c r="AE82" s="4028"/>
      <c r="AF82" s="4028"/>
      <c r="AG82" s="4028"/>
      <c r="AH82" s="4028"/>
      <c r="AI82" s="4028"/>
      <c r="AJ82" s="4028"/>
      <c r="AK82" s="4028"/>
      <c r="AL82" s="4029"/>
      <c r="AM82" s="1182" t="s">
        <v>610</v>
      </c>
      <c r="AN82" s="1566"/>
      <c r="AO82" s="1548"/>
      <c r="AP82" s="1548" t="str">
        <f t="shared" si="2"/>
        <v xml:space="preserve">Источник тепловой энергии  </v>
      </c>
      <c r="AQ82" s="1548"/>
      <c r="AR82" s="1548"/>
      <c r="AS82" s="1559">
        <v>0</v>
      </c>
    </row>
    <row r="83" spans="1:45" s="1745" customFormat="1" ht="47.25" customHeight="1">
      <c r="A83" s="1287"/>
      <c r="B83" s="1287"/>
      <c r="C83" s="1287"/>
      <c r="D83" s="1287"/>
      <c r="E83" s="4034"/>
      <c r="F83" s="4034" t="s">
        <v>77</v>
      </c>
      <c r="G83" s="4034"/>
      <c r="H83" s="4034"/>
      <c r="I83" s="4035" t="str">
        <f>S82&amp;".1"</f>
        <v>1.4.1.1.1</v>
      </c>
      <c r="J83" s="1287"/>
      <c r="K83" s="1287"/>
      <c r="L83" s="1293" t="s">
        <v>611</v>
      </c>
      <c r="M83" s="1290"/>
      <c r="N83" s="1672"/>
      <c r="O83" s="1672"/>
      <c r="P83" s="4037">
        <v>1</v>
      </c>
      <c r="Q83" s="1974"/>
      <c r="R83" s="290"/>
      <c r="S83" s="1972" t="str">
        <f>$I83</f>
        <v>1.4.1.1.1</v>
      </c>
      <c r="T83" s="220" t="s">
        <v>612</v>
      </c>
      <c r="U83" s="235"/>
      <c r="V83" s="4021"/>
      <c r="W83" s="4022"/>
      <c r="X83" s="4022"/>
      <c r="Y83" s="4022"/>
      <c r="Z83" s="4022"/>
      <c r="AA83" s="4022"/>
      <c r="AB83" s="4022"/>
      <c r="AC83" s="4023"/>
      <c r="AD83" s="4021" t="s">
        <v>654</v>
      </c>
      <c r="AE83" s="4022"/>
      <c r="AF83" s="4022"/>
      <c r="AG83" s="4022"/>
      <c r="AH83" s="4022"/>
      <c r="AI83" s="4022"/>
      <c r="AJ83" s="4022"/>
      <c r="AK83" s="4022"/>
      <c r="AL83" s="4023"/>
      <c r="AM83" s="1182" t="s">
        <v>613</v>
      </c>
      <c r="AN83" s="1566"/>
      <c r="AO83" s="1548"/>
      <c r="AP83" s="1548" t="str">
        <f t="shared" si="2"/>
        <v>Схема подключения теплопотребляющей установки к коллектору источника тепловой энергии</v>
      </c>
      <c r="AQ83" s="1548"/>
      <c r="AR83" s="1548"/>
      <c r="AS83" s="1559">
        <v>0</v>
      </c>
    </row>
    <row r="84" spans="1:45" s="1745" customFormat="1" ht="21" customHeight="1">
      <c r="A84" s="1287"/>
      <c r="B84" s="1287"/>
      <c r="C84" s="1287"/>
      <c r="D84" s="1287"/>
      <c r="E84" s="4034"/>
      <c r="F84" s="4034" t="s">
        <v>77</v>
      </c>
      <c r="G84" s="4034"/>
      <c r="H84" s="4034"/>
      <c r="I84" s="4036"/>
      <c r="J84" s="4035" t="str">
        <f>I83&amp;".1"</f>
        <v>1.4.1.1.1.1</v>
      </c>
      <c r="K84" s="1287"/>
      <c r="L84" s="1293" t="s">
        <v>614</v>
      </c>
      <c r="M84" s="1290"/>
      <c r="N84" s="1290"/>
      <c r="O84" s="1672"/>
      <c r="P84" s="4037"/>
      <c r="Q84" s="4037">
        <v>1</v>
      </c>
      <c r="R84" s="291"/>
      <c r="S84" s="1972" t="str">
        <f>$J84</f>
        <v>1.4.1.1.1.1</v>
      </c>
      <c r="T84" s="221" t="s">
        <v>615</v>
      </c>
      <c r="U84" s="235"/>
      <c r="V84" s="4021"/>
      <c r="W84" s="4022"/>
      <c r="X84" s="4022"/>
      <c r="Y84" s="4022"/>
      <c r="Z84" s="4022"/>
      <c r="AA84" s="4022"/>
      <c r="AB84" s="4022"/>
      <c r="AC84" s="4023"/>
      <c r="AD84" s="4021" t="s">
        <v>654</v>
      </c>
      <c r="AE84" s="4022"/>
      <c r="AF84" s="4022"/>
      <c r="AG84" s="4022"/>
      <c r="AH84" s="4022"/>
      <c r="AI84" s="4022"/>
      <c r="AJ84" s="4022"/>
      <c r="AK84" s="4022"/>
      <c r="AL84" s="4023"/>
      <c r="AM84" s="1182" t="s">
        <v>616</v>
      </c>
      <c r="AN84" s="1566"/>
      <c r="AO84" s="1548"/>
      <c r="AP84" s="1548" t="str">
        <f t="shared" si="2"/>
        <v>Группа потребителей</v>
      </c>
      <c r="AQ84" s="1548"/>
      <c r="AR84" s="1548"/>
      <c r="AS84" s="1559">
        <v>0</v>
      </c>
    </row>
    <row r="85" spans="1:45" s="1745" customFormat="1" ht="21" customHeight="1">
      <c r="A85" s="1287"/>
      <c r="B85" s="1287"/>
      <c r="C85" s="1287"/>
      <c r="D85" s="1287"/>
      <c r="E85" s="4034"/>
      <c r="F85" s="4034" t="s">
        <v>77</v>
      </c>
      <c r="G85" s="4034"/>
      <c r="H85" s="4034"/>
      <c r="I85" s="4036"/>
      <c r="J85" s="4036"/>
      <c r="K85" s="4035" t="str">
        <f>J84&amp;".1"</f>
        <v>1.4.1.1.1.1.1</v>
      </c>
      <c r="L85" s="1293" t="s">
        <v>617</v>
      </c>
      <c r="M85" s="1290"/>
      <c r="N85" s="1290"/>
      <c r="O85" s="1290"/>
      <c r="P85" s="4037"/>
      <c r="Q85" s="4037"/>
      <c r="R85" s="291">
        <v>1</v>
      </c>
      <c r="S85" s="1972" t="str">
        <f>$K85</f>
        <v>1.4.1.1.1.1.1</v>
      </c>
      <c r="T85" s="1271" t="s">
        <v>654</v>
      </c>
      <c r="U85" s="235"/>
      <c r="V85" s="685"/>
      <c r="W85" s="260"/>
      <c r="X85" s="685"/>
      <c r="Y85" s="1181"/>
      <c r="Z85" s="4038"/>
      <c r="AA85" s="3899" t="s">
        <v>53</v>
      </c>
      <c r="AB85" s="4038"/>
      <c r="AC85" s="3899" t="s">
        <v>53</v>
      </c>
      <c r="AD85" s="685">
        <v>2351.29</v>
      </c>
      <c r="AE85" s="260"/>
      <c r="AF85" s="685"/>
      <c r="AG85" s="1181"/>
      <c r="AH85" s="4038">
        <v>46023.598043981481</v>
      </c>
      <c r="AI85" s="3899" t="s">
        <v>53</v>
      </c>
      <c r="AJ85" s="4038">
        <v>46387.59814814815</v>
      </c>
      <c r="AK85" s="3899" t="s">
        <v>53</v>
      </c>
      <c r="AL85" s="260"/>
      <c r="AM85" s="4056" t="s">
        <v>618</v>
      </c>
      <c r="AN85" s="1566" t="e">
        <f ca="1">STRCHECKDATE(V86:AL86)</f>
        <v>#NAME?</v>
      </c>
      <c r="AO85" s="1548"/>
      <c r="AP85" s="1548" t="str">
        <f t="shared" si="2"/>
        <v>без дифференциации</v>
      </c>
      <c r="AQ85" s="1548"/>
      <c r="AR85" s="1548"/>
      <c r="AS85" s="1559">
        <v>0</v>
      </c>
    </row>
    <row r="86" spans="1:45" s="1745" customFormat="1" ht="0.75" customHeight="1">
      <c r="A86" s="1287"/>
      <c r="B86" s="1287"/>
      <c r="C86" s="1287"/>
      <c r="D86" s="1287"/>
      <c r="E86" s="4034"/>
      <c r="F86" s="4034" t="s">
        <v>77</v>
      </c>
      <c r="G86" s="4034"/>
      <c r="H86" s="4034"/>
      <c r="I86" s="4036"/>
      <c r="J86" s="4036"/>
      <c r="K86" s="4035"/>
      <c r="L86" s="1293"/>
      <c r="M86" s="1290"/>
      <c r="N86" s="1290"/>
      <c r="O86" s="1290"/>
      <c r="P86" s="4037"/>
      <c r="Q86" s="4037"/>
      <c r="R86" s="291"/>
      <c r="S86" s="1978"/>
      <c r="T86" s="235"/>
      <c r="U86" s="235"/>
      <c r="V86" s="260"/>
      <c r="W86" s="260"/>
      <c r="X86" s="260"/>
      <c r="Y86" s="263" t="str">
        <f>Z85&amp;"-"&amp;AB85</f>
        <v>-</v>
      </c>
      <c r="Z86" s="4039"/>
      <c r="AA86" s="3899"/>
      <c r="AB86" s="4039"/>
      <c r="AC86" s="3899"/>
      <c r="AD86" s="260"/>
      <c r="AE86" s="260"/>
      <c r="AF86" s="260"/>
      <c r="AG86" s="263" t="str">
        <f>AH85&amp;"-"&amp;AJ85</f>
        <v>46023,5980439815-46387,5981481482</v>
      </c>
      <c r="AH86" s="4039"/>
      <c r="AI86" s="3899"/>
      <c r="AJ86" s="4039"/>
      <c r="AK86" s="3899"/>
      <c r="AL86" s="260"/>
      <c r="AM86" s="4057"/>
      <c r="AN86" s="1566"/>
      <c r="AO86" s="1548"/>
      <c r="AP86" s="1548" t="str">
        <f t="shared" si="2"/>
        <v/>
      </c>
      <c r="AQ86" s="1548"/>
      <c r="AR86" s="1548"/>
      <c r="AS86" s="1559">
        <v>0</v>
      </c>
    </row>
    <row r="87" spans="1:45" s="1745" customFormat="1" ht="15" customHeight="1">
      <c r="A87" s="1287"/>
      <c r="B87" s="1287"/>
      <c r="C87" s="1287"/>
      <c r="D87" s="1287"/>
      <c r="E87" s="4034"/>
      <c r="F87" s="4034" t="s">
        <v>77</v>
      </c>
      <c r="G87" s="4034"/>
      <c r="H87" s="4034"/>
      <c r="I87" s="4036"/>
      <c r="J87" s="4035"/>
      <c r="K87" s="1287"/>
      <c r="L87" s="1293"/>
      <c r="M87" s="1290"/>
      <c r="N87" s="1290"/>
      <c r="O87" s="1672"/>
      <c r="P87" s="4037"/>
      <c r="Q87" s="4037"/>
      <c r="R87" s="290"/>
      <c r="S87" s="2239"/>
      <c r="T87" s="2240" t="s">
        <v>619</v>
      </c>
      <c r="U87" s="2241"/>
      <c r="V87" s="2242"/>
      <c r="W87" s="2243"/>
      <c r="X87" s="2244"/>
      <c r="Y87" s="2245"/>
      <c r="Z87" s="2246"/>
      <c r="AA87" s="2247"/>
      <c r="AB87" s="2248"/>
      <c r="AC87" s="2249"/>
      <c r="AD87" s="2250"/>
      <c r="AE87" s="2251"/>
      <c r="AF87" s="2252"/>
      <c r="AG87" s="2253"/>
      <c r="AH87" s="2254"/>
      <c r="AI87" s="2255"/>
      <c r="AJ87" s="2256"/>
      <c r="AK87" s="2257"/>
      <c r="AL87" s="2258"/>
      <c r="AM87" s="4058"/>
      <c r="AN87" s="1566"/>
      <c r="AO87" s="1548"/>
      <c r="AP87" s="1548" t="str">
        <f t="shared" si="2"/>
        <v>Добавить вид теплоносителя (параметры теплоносителя)</v>
      </c>
      <c r="AQ87" s="1548"/>
      <c r="AR87" s="1548"/>
      <c r="AS87" s="1559">
        <v>0</v>
      </c>
    </row>
    <row r="88" spans="1:45" s="1745" customFormat="1" ht="15" customHeight="1">
      <c r="A88" s="1287"/>
      <c r="B88" s="1287"/>
      <c r="C88" s="1287"/>
      <c r="D88" s="1287"/>
      <c r="E88" s="4034"/>
      <c r="F88" s="4034" t="s">
        <v>77</v>
      </c>
      <c r="G88" s="4034"/>
      <c r="H88" s="4034"/>
      <c r="I88" s="4035"/>
      <c r="J88" s="1287"/>
      <c r="K88" s="1287"/>
      <c r="L88" s="1293"/>
      <c r="M88" s="1290"/>
      <c r="N88" s="1672"/>
      <c r="O88" s="1672"/>
      <c r="P88" s="4037"/>
      <c r="Q88" s="1974"/>
      <c r="R88" s="290"/>
      <c r="S88" s="2259"/>
      <c r="T88" s="2260" t="s">
        <v>620</v>
      </c>
      <c r="U88" s="2261"/>
      <c r="V88" s="2262"/>
      <c r="W88" s="2263"/>
      <c r="X88" s="2264"/>
      <c r="Y88" s="2265"/>
      <c r="Z88" s="2266"/>
      <c r="AA88" s="2267"/>
      <c r="AB88" s="2268"/>
      <c r="AC88" s="2269"/>
      <c r="AD88" s="2270"/>
      <c r="AE88" s="2271"/>
      <c r="AF88" s="2272"/>
      <c r="AG88" s="2273"/>
      <c r="AH88" s="2274"/>
      <c r="AI88" s="2275"/>
      <c r="AJ88" s="2276"/>
      <c r="AK88" s="2277"/>
      <c r="AL88" s="2278"/>
      <c r="AM88" s="2279"/>
      <c r="AN88" s="1566"/>
      <c r="AO88" s="1548"/>
      <c r="AP88" s="1548" t="str">
        <f t="shared" si="2"/>
        <v>Добавить группу потребителей</v>
      </c>
      <c r="AQ88" s="1548"/>
      <c r="AR88" s="1548"/>
      <c r="AS88" s="1559">
        <v>0</v>
      </c>
    </row>
    <row r="89" spans="1:45" s="1745" customFormat="1" ht="14.25" customHeight="1">
      <c r="A89" s="1287"/>
      <c r="B89" s="1287"/>
      <c r="C89" s="1287"/>
      <c r="D89" s="1287"/>
      <c r="E89" s="4034"/>
      <c r="F89" s="4034" t="s">
        <v>77</v>
      </c>
      <c r="G89" s="4034"/>
      <c r="H89" s="4033"/>
      <c r="I89" s="1287"/>
      <c r="J89" s="1287"/>
      <c r="K89" s="1287"/>
      <c r="L89" s="1293"/>
      <c r="M89" s="1289"/>
      <c r="N89" s="1289"/>
      <c r="O89" s="1290"/>
      <c r="P89" s="1718"/>
      <c r="Q89" s="309"/>
      <c r="R89" s="289"/>
      <c r="S89" s="2280"/>
      <c r="T89" s="2281" t="s">
        <v>621</v>
      </c>
      <c r="U89" s="2282"/>
      <c r="V89" s="2283"/>
      <c r="W89" s="2284"/>
      <c r="X89" s="2285"/>
      <c r="Y89" s="2286"/>
      <c r="Z89" s="2287"/>
      <c r="AA89" s="2288"/>
      <c r="AB89" s="2289"/>
      <c r="AC89" s="2290"/>
      <c r="AD89" s="2291"/>
      <c r="AE89" s="2292"/>
      <c r="AF89" s="2293"/>
      <c r="AG89" s="2294"/>
      <c r="AH89" s="2295"/>
      <c r="AI89" s="2296"/>
      <c r="AJ89" s="2297"/>
      <c r="AK89" s="2298"/>
      <c r="AL89" s="2299"/>
      <c r="AM89" s="2300"/>
      <c r="AN89" s="1566"/>
      <c r="AO89" s="1548"/>
      <c r="AP89" s="1548" t="str">
        <f t="shared" si="2"/>
        <v>Добавить схему подключения</v>
      </c>
      <c r="AQ89" s="1548"/>
      <c r="AR89" s="1548"/>
      <c r="AS89" s="1559">
        <v>0</v>
      </c>
    </row>
    <row r="90" spans="1:45" s="556" customFormat="1" ht="0.75" customHeight="1">
      <c r="A90" s="1267"/>
      <c r="B90" s="1267"/>
      <c r="C90" s="1267"/>
      <c r="D90" s="1267"/>
      <c r="E90" s="4034"/>
      <c r="F90" s="4034" t="s">
        <v>77</v>
      </c>
      <c r="G90" s="4033"/>
      <c r="H90" s="1267"/>
      <c r="I90" s="1267"/>
      <c r="J90" s="1267"/>
      <c r="K90" s="1267"/>
      <c r="L90" s="1469"/>
      <c r="M90" s="1239"/>
      <c r="N90" s="1239"/>
      <c r="O90" s="1566"/>
      <c r="P90" s="1240"/>
      <c r="Q90" s="1268"/>
      <c r="R90" s="1240"/>
      <c r="S90" s="1242"/>
      <c r="T90" s="1243" t="s">
        <v>235</v>
      </c>
      <c r="U90" s="1244"/>
      <c r="V90" s="1244"/>
      <c r="W90" s="1244"/>
      <c r="X90" s="1244"/>
      <c r="Y90" s="1244"/>
      <c r="Z90" s="1244"/>
      <c r="AA90" s="1244"/>
      <c r="AB90" s="1244"/>
      <c r="AC90" s="1244"/>
      <c r="AD90" s="1244"/>
      <c r="AE90" s="1244"/>
      <c r="AF90" s="1244"/>
      <c r="AG90" s="1244"/>
      <c r="AH90" s="1244"/>
      <c r="AI90" s="1244"/>
      <c r="AJ90" s="1244"/>
      <c r="AK90" s="1244"/>
      <c r="AL90" s="1244"/>
      <c r="AM90" s="1244"/>
      <c r="AN90" s="1566"/>
      <c r="AO90" s="1548"/>
      <c r="AP90" s="1548" t="str">
        <f t="shared" si="2"/>
        <v>Добавить источник для дифференциации</v>
      </c>
      <c r="AQ90" s="1548"/>
      <c r="AR90" s="1548"/>
      <c r="AS90" s="1566">
        <v>0</v>
      </c>
    </row>
    <row r="91" spans="1:45" s="556" customFormat="1" ht="0.75" customHeight="1">
      <c r="A91" s="1267"/>
      <c r="B91" s="1267"/>
      <c r="C91" s="1267"/>
      <c r="D91" s="1267"/>
      <c r="E91" s="4034"/>
      <c r="F91" s="4033" t="s">
        <v>77</v>
      </c>
      <c r="G91" s="1267"/>
      <c r="H91" s="1267"/>
      <c r="I91" s="1267"/>
      <c r="J91" s="1267"/>
      <c r="K91" s="1267"/>
      <c r="L91" s="1469"/>
      <c r="M91" s="1245"/>
      <c r="N91" s="1245"/>
      <c r="O91" s="1566"/>
      <c r="P91" s="1240"/>
      <c r="Q91" s="1268"/>
      <c r="R91" s="1240"/>
      <c r="S91" s="1246"/>
      <c r="T91" s="1247" t="s">
        <v>236</v>
      </c>
      <c r="U91" s="1248"/>
      <c r="V91" s="1248"/>
      <c r="W91" s="1248"/>
      <c r="X91" s="1248"/>
      <c r="Y91" s="1248"/>
      <c r="Z91" s="1248"/>
      <c r="AA91" s="1248"/>
      <c r="AB91" s="1248"/>
      <c r="AC91" s="1248"/>
      <c r="AD91" s="1248"/>
      <c r="AE91" s="1248"/>
      <c r="AF91" s="1248"/>
      <c r="AG91" s="1248"/>
      <c r="AH91" s="1248"/>
      <c r="AI91" s="1248"/>
      <c r="AJ91" s="1248"/>
      <c r="AK91" s="1248"/>
      <c r="AL91" s="1248"/>
      <c r="AM91" s="1248"/>
      <c r="AN91" s="1566"/>
      <c r="AO91" s="1548"/>
      <c r="AP91" s="1548" t="str">
        <f t="shared" si="2"/>
        <v>Добавить централизованную систему для дифференциации</v>
      </c>
      <c r="AQ91" s="1548"/>
      <c r="AR91" s="1548"/>
      <c r="AS91" s="1566">
        <v>0</v>
      </c>
    </row>
    <row r="92" spans="1:45" s="1745" customFormat="1" ht="21" customHeight="1">
      <c r="A92" s="1287"/>
      <c r="B92" s="1287" t="s">
        <v>250</v>
      </c>
      <c r="C92" s="1287"/>
      <c r="D92" s="1287"/>
      <c r="E92" s="4034"/>
      <c r="F92" s="4033" t="s">
        <v>115</v>
      </c>
      <c r="G92" s="1287"/>
      <c r="H92" s="1287"/>
      <c r="I92" s="1287"/>
      <c r="J92" s="1287"/>
      <c r="K92" s="1287"/>
      <c r="L92" s="1293"/>
      <c r="M92" s="1289"/>
      <c r="N92" s="1289"/>
      <c r="O92" s="1289"/>
      <c r="P92" s="1970"/>
      <c r="Q92" s="286"/>
      <c r="R92" s="287"/>
      <c r="S92" s="1972" t="str">
        <f>INDEX(PT_DIFFERENTIATION_NUM_TER,MATCH(B92,PT_DIFFERENTIATION_TER_ID,0))</f>
        <v>1.5</v>
      </c>
      <c r="T92" s="1446" t="s">
        <v>605</v>
      </c>
      <c r="U92" s="235"/>
      <c r="V92" s="4027"/>
      <c r="W92" s="4028"/>
      <c r="X92" s="4028"/>
      <c r="Y92" s="4028"/>
      <c r="Z92" s="4028"/>
      <c r="AA92" s="4028"/>
      <c r="AB92" s="4028"/>
      <c r="AC92" s="4029"/>
      <c r="AD92" s="4027" t="str">
        <f>INDEX(PT_DIFFERENTIATION_TER,MATCH(B92,PT_DIFFERENTIATION_TER_ID,0))</f>
        <v>Территория 5</v>
      </c>
      <c r="AE92" s="4028"/>
      <c r="AF92" s="4028"/>
      <c r="AG92" s="4028"/>
      <c r="AH92" s="4028"/>
      <c r="AI92" s="4028"/>
      <c r="AJ92" s="4028"/>
      <c r="AK92" s="4028"/>
      <c r="AL92" s="4029"/>
      <c r="AM92" s="1182" t="s">
        <v>606</v>
      </c>
      <c r="AN92" s="1566"/>
      <c r="AO92" s="1548"/>
      <c r="AP92" s="1548" t="str">
        <f t="shared" si="2"/>
        <v>Территория действия тарифа</v>
      </c>
      <c r="AQ92" s="1548"/>
      <c r="AR92" s="1548"/>
      <c r="AS92" s="1559">
        <v>0</v>
      </c>
    </row>
    <row r="93" spans="1:45" s="1745" customFormat="1" ht="23.25" customHeight="1">
      <c r="A93" s="1287"/>
      <c r="B93" s="1287"/>
      <c r="C93" s="1287" t="s">
        <v>251</v>
      </c>
      <c r="D93" s="1287"/>
      <c r="E93" s="4034"/>
      <c r="F93" s="4034" t="s">
        <v>78</v>
      </c>
      <c r="G93" s="4033">
        <v>1</v>
      </c>
      <c r="H93" s="1287"/>
      <c r="I93" s="1287"/>
      <c r="J93" s="1287"/>
      <c r="K93" s="1287"/>
      <c r="L93" s="1293"/>
      <c r="M93" s="1289"/>
      <c r="N93" s="1289"/>
      <c r="O93" s="1289"/>
      <c r="P93" s="288"/>
      <c r="Q93" s="286"/>
      <c r="R93" s="287"/>
      <c r="S93" s="1972" t="str">
        <f>INDEX(PT_DIFFERENTIATION_NUM_CS,MATCH(C93,PT_DIFFERENTIATION_CS_ID,0))</f>
        <v>1.5.1</v>
      </c>
      <c r="T93" s="244" t="s">
        <v>607</v>
      </c>
      <c r="U93" s="235"/>
      <c r="V93" s="4027"/>
      <c r="W93" s="4028"/>
      <c r="X93" s="4028"/>
      <c r="Y93" s="4028"/>
      <c r="Z93" s="4028"/>
      <c r="AA93" s="4028"/>
      <c r="AB93" s="4028"/>
      <c r="AC93" s="4029"/>
      <c r="AD93" s="4027" t="str">
        <f>INDEX(PT_DIFFERENTIATION_CS,MATCH(C93,PT_DIFFERENTIATION_CS_ID,0))</f>
        <v>Сафоновский филиал</v>
      </c>
      <c r="AE93" s="4028"/>
      <c r="AF93" s="4028"/>
      <c r="AG93" s="4028"/>
      <c r="AH93" s="4028"/>
      <c r="AI93" s="4028"/>
      <c r="AJ93" s="4028"/>
      <c r="AK93" s="4028"/>
      <c r="AL93" s="4029"/>
      <c r="AM93" s="1182" t="s">
        <v>608</v>
      </c>
      <c r="AN93" s="1566"/>
      <c r="AO93" s="1548"/>
      <c r="AP93" s="1548" t="str">
        <f t="shared" si="2"/>
        <v xml:space="preserve">Наименование системы теплоснабжения </v>
      </c>
      <c r="AQ93" s="1548"/>
      <c r="AR93" s="1548"/>
      <c r="AS93" s="1559">
        <v>0</v>
      </c>
    </row>
    <row r="94" spans="1:45" s="1745" customFormat="1" ht="21" customHeight="1">
      <c r="A94" s="1287"/>
      <c r="B94" s="1287"/>
      <c r="C94" s="1287"/>
      <c r="D94" s="1287" t="s">
        <v>252</v>
      </c>
      <c r="E94" s="4034"/>
      <c r="F94" s="4034" t="s">
        <v>78</v>
      </c>
      <c r="G94" s="4034"/>
      <c r="H94" s="4033">
        <v>1</v>
      </c>
      <c r="I94" s="1287"/>
      <c r="J94" s="1287"/>
      <c r="K94" s="1287"/>
      <c r="L94" s="1293"/>
      <c r="M94" s="1289"/>
      <c r="N94" s="1289"/>
      <c r="O94" s="1289"/>
      <c r="P94" s="288"/>
      <c r="Q94" s="286"/>
      <c r="R94" s="287"/>
      <c r="S94" s="1972" t="str">
        <f>INDEX(PT_DIFFERENTIATION_NUM_IST_TE,MATCH(D94,PT_DIFFERENTIATION_IST_TE_ID,0))</f>
        <v>1.5.1.1</v>
      </c>
      <c r="T94" s="245" t="s">
        <v>609</v>
      </c>
      <c r="U94" s="235"/>
      <c r="V94" s="4027"/>
      <c r="W94" s="4028"/>
      <c r="X94" s="4028"/>
      <c r="Y94" s="4028"/>
      <c r="Z94" s="4028"/>
      <c r="AA94" s="4028"/>
      <c r="AB94" s="4028"/>
      <c r="AC94" s="4029"/>
      <c r="AD94" s="4027" t="str">
        <f>INDEX(PT_DIFFERENTIATION_IST_TE,MATCH(D94,PT_DIFFERENTIATION_IST_TE_ID,0))</f>
        <v>без дифференциации</v>
      </c>
      <c r="AE94" s="4028"/>
      <c r="AF94" s="4028"/>
      <c r="AG94" s="4028"/>
      <c r="AH94" s="4028"/>
      <c r="AI94" s="4028"/>
      <c r="AJ94" s="4028"/>
      <c r="AK94" s="4028"/>
      <c r="AL94" s="4029"/>
      <c r="AM94" s="1182" t="s">
        <v>610</v>
      </c>
      <c r="AN94" s="1566"/>
      <c r="AO94" s="1548"/>
      <c r="AP94" s="1548" t="str">
        <f t="shared" si="2"/>
        <v xml:space="preserve">Источник тепловой энергии  </v>
      </c>
      <c r="AQ94" s="1548"/>
      <c r="AR94" s="1548"/>
      <c r="AS94" s="1559">
        <v>0</v>
      </c>
    </row>
    <row r="95" spans="1:45" s="1745" customFormat="1" ht="47.25" customHeight="1">
      <c r="A95" s="1287"/>
      <c r="B95" s="1287"/>
      <c r="C95" s="1287"/>
      <c r="D95" s="1287"/>
      <c r="E95" s="4034"/>
      <c r="F95" s="4034" t="s">
        <v>78</v>
      </c>
      <c r="G95" s="4034"/>
      <c r="H95" s="4034"/>
      <c r="I95" s="4035" t="str">
        <f>S94&amp;".1"</f>
        <v>1.5.1.1.1</v>
      </c>
      <c r="J95" s="1287"/>
      <c r="K95" s="1287"/>
      <c r="L95" s="1293" t="s">
        <v>611</v>
      </c>
      <c r="M95" s="1290"/>
      <c r="N95" s="1672"/>
      <c r="O95" s="1672"/>
      <c r="P95" s="4037">
        <v>1</v>
      </c>
      <c r="Q95" s="1974"/>
      <c r="R95" s="290"/>
      <c r="S95" s="1972" t="str">
        <f>$I95</f>
        <v>1.5.1.1.1</v>
      </c>
      <c r="T95" s="220" t="s">
        <v>612</v>
      </c>
      <c r="U95" s="235"/>
      <c r="V95" s="4021"/>
      <c r="W95" s="4022"/>
      <c r="X95" s="4022"/>
      <c r="Y95" s="4022"/>
      <c r="Z95" s="4022"/>
      <c r="AA95" s="4022"/>
      <c r="AB95" s="4022"/>
      <c r="AC95" s="4023"/>
      <c r="AD95" s="4021" t="s">
        <v>654</v>
      </c>
      <c r="AE95" s="4022"/>
      <c r="AF95" s="4022"/>
      <c r="AG95" s="4022"/>
      <c r="AH95" s="4022"/>
      <c r="AI95" s="4022"/>
      <c r="AJ95" s="4022"/>
      <c r="AK95" s="4022"/>
      <c r="AL95" s="4023"/>
      <c r="AM95" s="1182" t="s">
        <v>613</v>
      </c>
      <c r="AN95" s="1566"/>
      <c r="AO95" s="1548"/>
      <c r="AP95" s="1548" t="str">
        <f t="shared" si="2"/>
        <v>Схема подключения теплопотребляющей установки к коллектору источника тепловой энергии</v>
      </c>
      <c r="AQ95" s="1548"/>
      <c r="AR95" s="1548"/>
      <c r="AS95" s="1559">
        <v>0</v>
      </c>
    </row>
    <row r="96" spans="1:45" s="1745" customFormat="1" ht="21" customHeight="1">
      <c r="A96" s="1287"/>
      <c r="B96" s="1287"/>
      <c r="C96" s="1287"/>
      <c r="D96" s="1287"/>
      <c r="E96" s="4034"/>
      <c r="F96" s="4034" t="s">
        <v>78</v>
      </c>
      <c r="G96" s="4034"/>
      <c r="H96" s="4034"/>
      <c r="I96" s="4036"/>
      <c r="J96" s="4035" t="str">
        <f>I95&amp;".1"</f>
        <v>1.5.1.1.1.1</v>
      </c>
      <c r="K96" s="1287"/>
      <c r="L96" s="1293" t="s">
        <v>614</v>
      </c>
      <c r="M96" s="1290"/>
      <c r="N96" s="1290"/>
      <c r="O96" s="1672"/>
      <c r="P96" s="4037"/>
      <c r="Q96" s="4037">
        <v>1</v>
      </c>
      <c r="R96" s="291"/>
      <c r="S96" s="1972" t="str">
        <f>$J96</f>
        <v>1.5.1.1.1.1</v>
      </c>
      <c r="T96" s="221" t="s">
        <v>615</v>
      </c>
      <c r="U96" s="235"/>
      <c r="V96" s="4021"/>
      <c r="W96" s="4022"/>
      <c r="X96" s="4022"/>
      <c r="Y96" s="4022"/>
      <c r="Z96" s="4022"/>
      <c r="AA96" s="4022"/>
      <c r="AB96" s="4022"/>
      <c r="AC96" s="4023"/>
      <c r="AD96" s="4021" t="s">
        <v>654</v>
      </c>
      <c r="AE96" s="4022"/>
      <c r="AF96" s="4022"/>
      <c r="AG96" s="4022"/>
      <c r="AH96" s="4022"/>
      <c r="AI96" s="4022"/>
      <c r="AJ96" s="4022"/>
      <c r="AK96" s="4022"/>
      <c r="AL96" s="4023"/>
      <c r="AM96" s="1182" t="s">
        <v>616</v>
      </c>
      <c r="AN96" s="1566"/>
      <c r="AO96" s="1548"/>
      <c r="AP96" s="1548" t="str">
        <f t="shared" si="2"/>
        <v>Группа потребителей</v>
      </c>
      <c r="AQ96" s="1548"/>
      <c r="AR96" s="1548"/>
      <c r="AS96" s="1559">
        <v>0</v>
      </c>
    </row>
    <row r="97" spans="1:45" s="1745" customFormat="1" ht="21" customHeight="1">
      <c r="A97" s="1287"/>
      <c r="B97" s="1287"/>
      <c r="C97" s="1287"/>
      <c r="D97" s="1287"/>
      <c r="E97" s="4034"/>
      <c r="F97" s="4034" t="s">
        <v>78</v>
      </c>
      <c r="G97" s="4034"/>
      <c r="H97" s="4034"/>
      <c r="I97" s="4036"/>
      <c r="J97" s="4036"/>
      <c r="K97" s="4035" t="str">
        <f>J96&amp;".1"</f>
        <v>1.5.1.1.1.1.1</v>
      </c>
      <c r="L97" s="1293" t="s">
        <v>617</v>
      </c>
      <c r="M97" s="1290"/>
      <c r="N97" s="1290"/>
      <c r="O97" s="1290"/>
      <c r="P97" s="4037"/>
      <c r="Q97" s="4037"/>
      <c r="R97" s="291">
        <v>1</v>
      </c>
      <c r="S97" s="1972" t="str">
        <f>$K97</f>
        <v>1.5.1.1.1.1.1</v>
      </c>
      <c r="T97" s="1271" t="s">
        <v>654</v>
      </c>
      <c r="U97" s="235"/>
      <c r="V97" s="685"/>
      <c r="W97" s="260"/>
      <c r="X97" s="685"/>
      <c r="Y97" s="1181"/>
      <c r="Z97" s="4038"/>
      <c r="AA97" s="3899" t="s">
        <v>53</v>
      </c>
      <c r="AB97" s="4038"/>
      <c r="AC97" s="3899" t="s">
        <v>53</v>
      </c>
      <c r="AD97" s="685">
        <v>4267.9799999999996</v>
      </c>
      <c r="AE97" s="260"/>
      <c r="AF97" s="685"/>
      <c r="AG97" s="1181"/>
      <c r="AH97" s="4038">
        <v>46023.596921296295</v>
      </c>
      <c r="AI97" s="3899" t="s">
        <v>53</v>
      </c>
      <c r="AJ97" s="4038">
        <v>46387.597037037034</v>
      </c>
      <c r="AK97" s="3899" t="s">
        <v>53</v>
      </c>
      <c r="AL97" s="260"/>
      <c r="AM97" s="4056" t="s">
        <v>618</v>
      </c>
      <c r="AN97" s="1566" t="e">
        <f ca="1">STRCHECKDATE(V98:AL98)</f>
        <v>#NAME?</v>
      </c>
      <c r="AO97" s="1548"/>
      <c r="AP97" s="1548" t="str">
        <f t="shared" si="2"/>
        <v>без дифференциации</v>
      </c>
      <c r="AQ97" s="1548"/>
      <c r="AR97" s="1548"/>
      <c r="AS97" s="1559">
        <v>0</v>
      </c>
    </row>
    <row r="98" spans="1:45" s="1745" customFormat="1" ht="0.75" customHeight="1">
      <c r="A98" s="1287"/>
      <c r="B98" s="1287"/>
      <c r="C98" s="1287"/>
      <c r="D98" s="1287"/>
      <c r="E98" s="4034"/>
      <c r="F98" s="4034" t="s">
        <v>78</v>
      </c>
      <c r="G98" s="4034"/>
      <c r="H98" s="4034"/>
      <c r="I98" s="4036"/>
      <c r="J98" s="4036"/>
      <c r="K98" s="4035"/>
      <c r="L98" s="1293"/>
      <c r="M98" s="1290"/>
      <c r="N98" s="1290"/>
      <c r="O98" s="1290"/>
      <c r="P98" s="4037"/>
      <c r="Q98" s="4037"/>
      <c r="R98" s="291"/>
      <c r="S98" s="1978"/>
      <c r="T98" s="235"/>
      <c r="U98" s="235"/>
      <c r="V98" s="260"/>
      <c r="W98" s="260"/>
      <c r="X98" s="260"/>
      <c r="Y98" s="263" t="str">
        <f>Z97&amp;"-"&amp;AB97</f>
        <v>-</v>
      </c>
      <c r="Z98" s="4039"/>
      <c r="AA98" s="3899"/>
      <c r="AB98" s="4039"/>
      <c r="AC98" s="3899"/>
      <c r="AD98" s="260"/>
      <c r="AE98" s="260"/>
      <c r="AF98" s="260"/>
      <c r="AG98" s="263" t="str">
        <f>AH97&amp;"-"&amp;AJ97</f>
        <v>46023,5969212963-46387,597037037</v>
      </c>
      <c r="AH98" s="4039"/>
      <c r="AI98" s="3899"/>
      <c r="AJ98" s="4039"/>
      <c r="AK98" s="3899"/>
      <c r="AL98" s="260"/>
      <c r="AM98" s="4057"/>
      <c r="AN98" s="1566"/>
      <c r="AO98" s="1548"/>
      <c r="AP98" s="1548" t="str">
        <f t="shared" si="2"/>
        <v/>
      </c>
      <c r="AQ98" s="1548"/>
      <c r="AR98" s="1548"/>
      <c r="AS98" s="1559">
        <v>0</v>
      </c>
    </row>
    <row r="99" spans="1:45" s="1745" customFormat="1" ht="15" customHeight="1">
      <c r="A99" s="1287"/>
      <c r="B99" s="1287"/>
      <c r="C99" s="1287"/>
      <c r="D99" s="1287"/>
      <c r="E99" s="4034"/>
      <c r="F99" s="4034" t="s">
        <v>78</v>
      </c>
      <c r="G99" s="4034"/>
      <c r="H99" s="4034"/>
      <c r="I99" s="4036"/>
      <c r="J99" s="4035"/>
      <c r="K99" s="1287"/>
      <c r="L99" s="1293"/>
      <c r="M99" s="1290"/>
      <c r="N99" s="1290"/>
      <c r="O99" s="1672"/>
      <c r="P99" s="4037"/>
      <c r="Q99" s="4037"/>
      <c r="R99" s="290"/>
      <c r="S99" s="2301"/>
      <c r="T99" s="2302" t="s">
        <v>619</v>
      </c>
      <c r="U99" s="2303"/>
      <c r="V99" s="2304"/>
      <c r="W99" s="2305"/>
      <c r="X99" s="2306"/>
      <c r="Y99" s="2307"/>
      <c r="Z99" s="2308"/>
      <c r="AA99" s="2309"/>
      <c r="AB99" s="2310"/>
      <c r="AC99" s="2311"/>
      <c r="AD99" s="2312"/>
      <c r="AE99" s="2313"/>
      <c r="AF99" s="2314"/>
      <c r="AG99" s="2315"/>
      <c r="AH99" s="2316"/>
      <c r="AI99" s="2317"/>
      <c r="AJ99" s="2318"/>
      <c r="AK99" s="2319"/>
      <c r="AL99" s="2320"/>
      <c r="AM99" s="4058"/>
      <c r="AN99" s="1566"/>
      <c r="AO99" s="1548"/>
      <c r="AP99" s="1548" t="str">
        <f t="shared" si="2"/>
        <v>Добавить вид теплоносителя (параметры теплоносителя)</v>
      </c>
      <c r="AQ99" s="1548"/>
      <c r="AR99" s="1548"/>
      <c r="AS99" s="1559">
        <v>0</v>
      </c>
    </row>
    <row r="100" spans="1:45" s="1745" customFormat="1" ht="15" customHeight="1">
      <c r="A100" s="1287"/>
      <c r="B100" s="1287"/>
      <c r="C100" s="1287"/>
      <c r="D100" s="1287"/>
      <c r="E100" s="4034"/>
      <c r="F100" s="4034" t="s">
        <v>78</v>
      </c>
      <c r="G100" s="4034"/>
      <c r="H100" s="4034"/>
      <c r="I100" s="4035"/>
      <c r="J100" s="1287"/>
      <c r="K100" s="1287"/>
      <c r="L100" s="1293"/>
      <c r="M100" s="1290"/>
      <c r="N100" s="1672"/>
      <c r="O100" s="1672"/>
      <c r="P100" s="4037"/>
      <c r="Q100" s="1974"/>
      <c r="R100" s="290"/>
      <c r="S100" s="2321"/>
      <c r="T100" s="2322" t="s">
        <v>620</v>
      </c>
      <c r="U100" s="2323"/>
      <c r="V100" s="2324"/>
      <c r="W100" s="2325"/>
      <c r="X100" s="2326"/>
      <c r="Y100" s="2327"/>
      <c r="Z100" s="2328"/>
      <c r="AA100" s="2329"/>
      <c r="AB100" s="2330"/>
      <c r="AC100" s="2331"/>
      <c r="AD100" s="2332"/>
      <c r="AE100" s="2333"/>
      <c r="AF100" s="2334"/>
      <c r="AG100" s="2335"/>
      <c r="AH100" s="2336"/>
      <c r="AI100" s="2337"/>
      <c r="AJ100" s="2338"/>
      <c r="AK100" s="2339"/>
      <c r="AL100" s="2340"/>
      <c r="AM100" s="2341"/>
      <c r="AN100" s="1566"/>
      <c r="AO100" s="1548"/>
      <c r="AP100" s="1548" t="str">
        <f t="shared" si="2"/>
        <v>Добавить группу потребителей</v>
      </c>
      <c r="AQ100" s="1548"/>
      <c r="AR100" s="1548"/>
      <c r="AS100" s="1559">
        <v>0</v>
      </c>
    </row>
    <row r="101" spans="1:45" s="1745" customFormat="1" ht="14.25" customHeight="1">
      <c r="A101" s="1287"/>
      <c r="B101" s="1287"/>
      <c r="C101" s="1287"/>
      <c r="D101" s="1287"/>
      <c r="E101" s="4034"/>
      <c r="F101" s="4034" t="s">
        <v>78</v>
      </c>
      <c r="G101" s="4034"/>
      <c r="H101" s="4033"/>
      <c r="I101" s="1287"/>
      <c r="J101" s="1287"/>
      <c r="K101" s="1287"/>
      <c r="L101" s="1293"/>
      <c r="M101" s="1289"/>
      <c r="N101" s="1289"/>
      <c r="O101" s="1290"/>
      <c r="P101" s="1718"/>
      <c r="Q101" s="309"/>
      <c r="R101" s="289"/>
      <c r="S101" s="2342"/>
      <c r="T101" s="2343" t="s">
        <v>621</v>
      </c>
      <c r="U101" s="2344"/>
      <c r="V101" s="2345"/>
      <c r="W101" s="2346"/>
      <c r="X101" s="2347"/>
      <c r="Y101" s="2348"/>
      <c r="Z101" s="2349"/>
      <c r="AA101" s="2350"/>
      <c r="AB101" s="2351"/>
      <c r="AC101" s="2352"/>
      <c r="AD101" s="2353"/>
      <c r="AE101" s="2354"/>
      <c r="AF101" s="2355"/>
      <c r="AG101" s="2356"/>
      <c r="AH101" s="2357"/>
      <c r="AI101" s="2358"/>
      <c r="AJ101" s="2359"/>
      <c r="AK101" s="2360"/>
      <c r="AL101" s="2361"/>
      <c r="AM101" s="2362"/>
      <c r="AN101" s="1566"/>
      <c r="AO101" s="1548"/>
      <c r="AP101" s="1548" t="str">
        <f t="shared" si="2"/>
        <v>Добавить схему подключения</v>
      </c>
      <c r="AQ101" s="1548"/>
      <c r="AR101" s="1548"/>
      <c r="AS101" s="1559">
        <v>0</v>
      </c>
    </row>
    <row r="102" spans="1:45" s="556" customFormat="1" ht="0.75" customHeight="1">
      <c r="A102" s="1267"/>
      <c r="B102" s="1267"/>
      <c r="C102" s="1267"/>
      <c r="D102" s="1267"/>
      <c r="E102" s="4034"/>
      <c r="F102" s="4034" t="s">
        <v>78</v>
      </c>
      <c r="G102" s="4033"/>
      <c r="H102" s="1267"/>
      <c r="I102" s="1267"/>
      <c r="J102" s="1267"/>
      <c r="K102" s="1267"/>
      <c r="L102" s="1469"/>
      <c r="M102" s="1239"/>
      <c r="N102" s="1239"/>
      <c r="O102" s="1566"/>
      <c r="P102" s="1240"/>
      <c r="Q102" s="1268"/>
      <c r="R102" s="1240"/>
      <c r="S102" s="1242"/>
      <c r="T102" s="1243" t="s">
        <v>235</v>
      </c>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566"/>
      <c r="AO102" s="1548"/>
      <c r="AP102" s="1548" t="str">
        <f t="shared" si="2"/>
        <v>Добавить источник для дифференциации</v>
      </c>
      <c r="AQ102" s="1548"/>
      <c r="AR102" s="1548"/>
      <c r="AS102" s="1566">
        <v>0</v>
      </c>
    </row>
    <row r="103" spans="1:45" s="556" customFormat="1" ht="0.75" customHeight="1">
      <c r="A103" s="1267"/>
      <c r="B103" s="1267"/>
      <c r="C103" s="1267"/>
      <c r="D103" s="1267"/>
      <c r="E103" s="4034"/>
      <c r="F103" s="4033" t="s">
        <v>78</v>
      </c>
      <c r="G103" s="1267"/>
      <c r="H103" s="1267"/>
      <c r="I103" s="1267"/>
      <c r="J103" s="1267"/>
      <c r="K103" s="1267"/>
      <c r="L103" s="1469"/>
      <c r="M103" s="1245"/>
      <c r="N103" s="1245"/>
      <c r="O103" s="1566"/>
      <c r="P103" s="1240"/>
      <c r="Q103" s="1268"/>
      <c r="R103" s="1240"/>
      <c r="S103" s="1246"/>
      <c r="T103" s="1247" t="s">
        <v>236</v>
      </c>
      <c r="U103" s="1248"/>
      <c r="V103" s="1248"/>
      <c r="W103" s="1248"/>
      <c r="X103" s="1248"/>
      <c r="Y103" s="1248"/>
      <c r="Z103" s="1248"/>
      <c r="AA103" s="1248"/>
      <c r="AB103" s="1248"/>
      <c r="AC103" s="1248"/>
      <c r="AD103" s="1248"/>
      <c r="AE103" s="1248"/>
      <c r="AF103" s="1248"/>
      <c r="AG103" s="1248"/>
      <c r="AH103" s="1248"/>
      <c r="AI103" s="1248"/>
      <c r="AJ103" s="1248"/>
      <c r="AK103" s="1248"/>
      <c r="AL103" s="1248"/>
      <c r="AM103" s="1248"/>
      <c r="AN103" s="1566"/>
      <c r="AO103" s="1548"/>
      <c r="AP103" s="1548" t="str">
        <f t="shared" si="2"/>
        <v>Добавить централизованную систему для дифференциации</v>
      </c>
      <c r="AQ103" s="1548"/>
      <c r="AR103" s="1548"/>
      <c r="AS103" s="1566">
        <v>0</v>
      </c>
    </row>
    <row r="104" spans="1:45" s="1745" customFormat="1" ht="21" customHeight="1">
      <c r="A104" s="1287"/>
      <c r="B104" s="1287" t="s">
        <v>254</v>
      </c>
      <c r="C104" s="1287"/>
      <c r="D104" s="1287"/>
      <c r="E104" s="4034"/>
      <c r="F104" s="4033" t="s">
        <v>79</v>
      </c>
      <c r="G104" s="1287"/>
      <c r="H104" s="1287"/>
      <c r="I104" s="1287"/>
      <c r="J104" s="1287"/>
      <c r="K104" s="1287"/>
      <c r="L104" s="1293"/>
      <c r="M104" s="1289"/>
      <c r="N104" s="1289"/>
      <c r="O104" s="1289"/>
      <c r="P104" s="1970"/>
      <c r="Q104" s="286"/>
      <c r="R104" s="287"/>
      <c r="S104" s="1972" t="str">
        <f>INDEX(PT_DIFFERENTIATION_NUM_TER,MATCH(B104,PT_DIFFERENTIATION_TER_ID,0))</f>
        <v>1.6</v>
      </c>
      <c r="T104" s="1446" t="s">
        <v>605</v>
      </c>
      <c r="U104" s="235"/>
      <c r="V104" s="4027"/>
      <c r="W104" s="4028"/>
      <c r="X104" s="4028"/>
      <c r="Y104" s="4028"/>
      <c r="Z104" s="4028"/>
      <c r="AA104" s="4028"/>
      <c r="AB104" s="4028"/>
      <c r="AC104" s="4029"/>
      <c r="AD104" s="4027" t="str">
        <f>INDEX(PT_DIFFERENTIATION_TER,MATCH(B104,PT_DIFFERENTIATION_TER_ID,0))</f>
        <v>Территория 6</v>
      </c>
      <c r="AE104" s="4028"/>
      <c r="AF104" s="4028"/>
      <c r="AG104" s="4028"/>
      <c r="AH104" s="4028"/>
      <c r="AI104" s="4028"/>
      <c r="AJ104" s="4028"/>
      <c r="AK104" s="4028"/>
      <c r="AL104" s="4029"/>
      <c r="AM104" s="1182" t="s">
        <v>606</v>
      </c>
      <c r="AN104" s="1566"/>
      <c r="AO104" s="1548"/>
      <c r="AP104" s="1548" t="str">
        <f t="shared" si="2"/>
        <v>Территория действия тарифа</v>
      </c>
      <c r="AQ104" s="1548"/>
      <c r="AR104" s="1548"/>
      <c r="AS104" s="1559">
        <v>0</v>
      </c>
    </row>
    <row r="105" spans="1:45" s="1745" customFormat="1" ht="23.25" customHeight="1">
      <c r="A105" s="1287"/>
      <c r="B105" s="1287"/>
      <c r="C105" s="1287" t="s">
        <v>255</v>
      </c>
      <c r="D105" s="1287"/>
      <c r="E105" s="4034"/>
      <c r="F105" s="4034" t="s">
        <v>115</v>
      </c>
      <c r="G105" s="4033">
        <v>1</v>
      </c>
      <c r="H105" s="1287"/>
      <c r="I105" s="1287"/>
      <c r="J105" s="1287"/>
      <c r="K105" s="1287"/>
      <c r="L105" s="1293"/>
      <c r="M105" s="1289"/>
      <c r="N105" s="1289"/>
      <c r="O105" s="1289"/>
      <c r="P105" s="288"/>
      <c r="Q105" s="286"/>
      <c r="R105" s="287"/>
      <c r="S105" s="1972" t="str">
        <f>INDEX(PT_DIFFERENTIATION_NUM_CS,MATCH(C105,PT_DIFFERENTIATION_CS_ID,0))</f>
        <v>1.6.1</v>
      </c>
      <c r="T105" s="244" t="s">
        <v>607</v>
      </c>
      <c r="U105" s="235"/>
      <c r="V105" s="4027"/>
      <c r="W105" s="4028"/>
      <c r="X105" s="4028"/>
      <c r="Y105" s="4028"/>
      <c r="Z105" s="4028"/>
      <c r="AA105" s="4028"/>
      <c r="AB105" s="4028"/>
      <c r="AC105" s="4029"/>
      <c r="AD105" s="4027" t="str">
        <f>INDEX(PT_DIFFERENTIATION_CS,MATCH(C105,PT_DIFFERENTIATION_CS_ID,0))</f>
        <v xml:space="preserve">котельная  №16 г. Сафоново, ул. Советская
</v>
      </c>
      <c r="AE105" s="4028"/>
      <c r="AF105" s="4028"/>
      <c r="AG105" s="4028"/>
      <c r="AH105" s="4028"/>
      <c r="AI105" s="4028"/>
      <c r="AJ105" s="4028"/>
      <c r="AK105" s="4028"/>
      <c r="AL105" s="4029"/>
      <c r="AM105" s="1182" t="s">
        <v>608</v>
      </c>
      <c r="AN105" s="1566"/>
      <c r="AO105" s="1548"/>
      <c r="AP105" s="1548" t="str">
        <f t="shared" si="2"/>
        <v xml:space="preserve">Наименование системы теплоснабжения </v>
      </c>
      <c r="AQ105" s="1548"/>
      <c r="AR105" s="1548"/>
      <c r="AS105" s="1559">
        <v>0</v>
      </c>
    </row>
    <row r="106" spans="1:45" s="1745" customFormat="1" ht="21" customHeight="1">
      <c r="A106" s="1287"/>
      <c r="B106" s="1287"/>
      <c r="C106" s="1287"/>
      <c r="D106" s="1287" t="s">
        <v>256</v>
      </c>
      <c r="E106" s="4034"/>
      <c r="F106" s="4034" t="s">
        <v>115</v>
      </c>
      <c r="G106" s="4034"/>
      <c r="H106" s="4033">
        <v>1</v>
      </c>
      <c r="I106" s="1287"/>
      <c r="J106" s="1287"/>
      <c r="K106" s="1287"/>
      <c r="L106" s="1293"/>
      <c r="M106" s="1289"/>
      <c r="N106" s="1289"/>
      <c r="O106" s="1289"/>
      <c r="P106" s="288"/>
      <c r="Q106" s="286"/>
      <c r="R106" s="287"/>
      <c r="S106" s="1972" t="str">
        <f>INDEX(PT_DIFFERENTIATION_NUM_IST_TE,MATCH(D106,PT_DIFFERENTIATION_IST_TE_ID,0))</f>
        <v>1.6.1.1</v>
      </c>
      <c r="T106" s="245" t="s">
        <v>609</v>
      </c>
      <c r="U106" s="235"/>
      <c r="V106" s="4027"/>
      <c r="W106" s="4028"/>
      <c r="X106" s="4028"/>
      <c r="Y106" s="4028"/>
      <c r="Z106" s="4028"/>
      <c r="AA106" s="4028"/>
      <c r="AB106" s="4028"/>
      <c r="AC106" s="4029"/>
      <c r="AD106" s="4027" t="str">
        <f>INDEX(PT_DIFFERENTIATION_IST_TE,MATCH(D106,PT_DIFFERENTIATION_IST_TE_ID,0))</f>
        <v>без дифференциации</v>
      </c>
      <c r="AE106" s="4028"/>
      <c r="AF106" s="4028"/>
      <c r="AG106" s="4028"/>
      <c r="AH106" s="4028"/>
      <c r="AI106" s="4028"/>
      <c r="AJ106" s="4028"/>
      <c r="AK106" s="4028"/>
      <c r="AL106" s="4029"/>
      <c r="AM106" s="1182" t="s">
        <v>610</v>
      </c>
      <c r="AN106" s="1566"/>
      <c r="AO106" s="1548"/>
      <c r="AP106" s="1548" t="str">
        <f t="shared" si="2"/>
        <v xml:space="preserve">Источник тепловой энергии  </v>
      </c>
      <c r="AQ106" s="1548"/>
      <c r="AR106" s="1548"/>
      <c r="AS106" s="1559">
        <v>0</v>
      </c>
    </row>
    <row r="107" spans="1:45" s="1745" customFormat="1" ht="47.25" customHeight="1">
      <c r="A107" s="1287"/>
      <c r="B107" s="1287"/>
      <c r="C107" s="1287"/>
      <c r="D107" s="1287"/>
      <c r="E107" s="4034"/>
      <c r="F107" s="4034" t="s">
        <v>115</v>
      </c>
      <c r="G107" s="4034"/>
      <c r="H107" s="4034"/>
      <c r="I107" s="4035" t="str">
        <f>S106&amp;".1"</f>
        <v>1.6.1.1.1</v>
      </c>
      <c r="J107" s="1287"/>
      <c r="K107" s="1287"/>
      <c r="L107" s="1293" t="s">
        <v>611</v>
      </c>
      <c r="M107" s="1290"/>
      <c r="N107" s="1672"/>
      <c r="O107" s="1672"/>
      <c r="P107" s="4037">
        <v>1</v>
      </c>
      <c r="Q107" s="1974"/>
      <c r="R107" s="290"/>
      <c r="S107" s="1972" t="str">
        <f>$I107</f>
        <v>1.6.1.1.1</v>
      </c>
      <c r="T107" s="220" t="s">
        <v>612</v>
      </c>
      <c r="U107" s="235"/>
      <c r="V107" s="4021"/>
      <c r="W107" s="4022"/>
      <c r="X107" s="4022"/>
      <c r="Y107" s="4022"/>
      <c r="Z107" s="4022"/>
      <c r="AA107" s="4022"/>
      <c r="AB107" s="4022"/>
      <c r="AC107" s="4023"/>
      <c r="AD107" s="4021" t="s">
        <v>654</v>
      </c>
      <c r="AE107" s="4022"/>
      <c r="AF107" s="4022"/>
      <c r="AG107" s="4022"/>
      <c r="AH107" s="4022"/>
      <c r="AI107" s="4022"/>
      <c r="AJ107" s="4022"/>
      <c r="AK107" s="4022"/>
      <c r="AL107" s="4023"/>
      <c r="AM107" s="1182" t="s">
        <v>613</v>
      </c>
      <c r="AN107" s="1566"/>
      <c r="AO107" s="1548"/>
      <c r="AP107" s="1548" t="str">
        <f t="shared" ref="AP107:AP138" si="3">IF(T107="","",T107)</f>
        <v>Схема подключения теплопотребляющей установки к коллектору источника тепловой энергии</v>
      </c>
      <c r="AQ107" s="1548"/>
      <c r="AR107" s="1548"/>
      <c r="AS107" s="1559">
        <v>0</v>
      </c>
    </row>
    <row r="108" spans="1:45" s="1745" customFormat="1" ht="21" customHeight="1">
      <c r="A108" s="1287"/>
      <c r="B108" s="1287"/>
      <c r="C108" s="1287"/>
      <c r="D108" s="1287"/>
      <c r="E108" s="4034"/>
      <c r="F108" s="4034" t="s">
        <v>115</v>
      </c>
      <c r="G108" s="4034"/>
      <c r="H108" s="4034"/>
      <c r="I108" s="4036"/>
      <c r="J108" s="4035" t="str">
        <f>I107&amp;".1"</f>
        <v>1.6.1.1.1.1</v>
      </c>
      <c r="K108" s="1287"/>
      <c r="L108" s="1293" t="s">
        <v>614</v>
      </c>
      <c r="M108" s="1290"/>
      <c r="N108" s="1290"/>
      <c r="O108" s="1672"/>
      <c r="P108" s="4037"/>
      <c r="Q108" s="4037">
        <v>1</v>
      </c>
      <c r="R108" s="291"/>
      <c r="S108" s="1972" t="str">
        <f>$J108</f>
        <v>1.6.1.1.1.1</v>
      </c>
      <c r="T108" s="221" t="s">
        <v>615</v>
      </c>
      <c r="U108" s="235"/>
      <c r="V108" s="4021"/>
      <c r="W108" s="4022"/>
      <c r="X108" s="4022"/>
      <c r="Y108" s="4022"/>
      <c r="Z108" s="4022"/>
      <c r="AA108" s="4022"/>
      <c r="AB108" s="4022"/>
      <c r="AC108" s="4023"/>
      <c r="AD108" s="4021" t="s">
        <v>654</v>
      </c>
      <c r="AE108" s="4022"/>
      <c r="AF108" s="4022"/>
      <c r="AG108" s="4022"/>
      <c r="AH108" s="4022"/>
      <c r="AI108" s="4022"/>
      <c r="AJ108" s="4022"/>
      <c r="AK108" s="4022"/>
      <c r="AL108" s="4023"/>
      <c r="AM108" s="1182" t="s">
        <v>616</v>
      </c>
      <c r="AN108" s="1566"/>
      <c r="AO108" s="1548"/>
      <c r="AP108" s="1548" t="str">
        <f t="shared" si="3"/>
        <v>Группа потребителей</v>
      </c>
      <c r="AQ108" s="1548"/>
      <c r="AR108" s="1548"/>
      <c r="AS108" s="1559">
        <v>0</v>
      </c>
    </row>
    <row r="109" spans="1:45" s="1745" customFormat="1" ht="21" customHeight="1">
      <c r="A109" s="1287"/>
      <c r="B109" s="1287"/>
      <c r="C109" s="1287"/>
      <c r="D109" s="1287"/>
      <c r="E109" s="4034"/>
      <c r="F109" s="4034" t="s">
        <v>115</v>
      </c>
      <c r="G109" s="4034"/>
      <c r="H109" s="4034"/>
      <c r="I109" s="4036"/>
      <c r="J109" s="4036"/>
      <c r="K109" s="4035" t="str">
        <f>J108&amp;".1"</f>
        <v>1.6.1.1.1.1.1</v>
      </c>
      <c r="L109" s="1293" t="s">
        <v>617</v>
      </c>
      <c r="M109" s="1290"/>
      <c r="N109" s="1290"/>
      <c r="O109" s="1290"/>
      <c r="P109" s="4037"/>
      <c r="Q109" s="4037"/>
      <c r="R109" s="291">
        <v>1</v>
      </c>
      <c r="S109" s="1972" t="str">
        <f>$K109</f>
        <v>1.6.1.1.1.1.1</v>
      </c>
      <c r="T109" s="1271" t="s">
        <v>654</v>
      </c>
      <c r="U109" s="235"/>
      <c r="V109" s="685"/>
      <c r="W109" s="260"/>
      <c r="X109" s="685"/>
      <c r="Y109" s="1181"/>
      <c r="Z109" s="4038"/>
      <c r="AA109" s="3899" t="s">
        <v>53</v>
      </c>
      <c r="AB109" s="4038"/>
      <c r="AC109" s="3899" t="s">
        <v>53</v>
      </c>
      <c r="AD109" s="685">
        <v>4758.21</v>
      </c>
      <c r="AE109" s="260"/>
      <c r="AF109" s="685"/>
      <c r="AG109" s="1181"/>
      <c r="AH109" s="4038">
        <v>46023.596631944441</v>
      </c>
      <c r="AI109" s="3899" t="s">
        <v>53</v>
      </c>
      <c r="AJ109" s="4038">
        <v>46387.596724537034</v>
      </c>
      <c r="AK109" s="3899" t="s">
        <v>53</v>
      </c>
      <c r="AL109" s="260"/>
      <c r="AM109" s="4056" t="s">
        <v>618</v>
      </c>
      <c r="AN109" s="1566" t="e">
        <f ca="1">STRCHECKDATE(V110:AL110)</f>
        <v>#NAME?</v>
      </c>
      <c r="AO109" s="1548"/>
      <c r="AP109" s="1548" t="str">
        <f t="shared" si="3"/>
        <v>без дифференциации</v>
      </c>
      <c r="AQ109" s="1548"/>
      <c r="AR109" s="1548"/>
      <c r="AS109" s="1559">
        <v>0</v>
      </c>
    </row>
    <row r="110" spans="1:45" s="1745" customFormat="1" ht="0.75" customHeight="1">
      <c r="A110" s="1287"/>
      <c r="B110" s="1287"/>
      <c r="C110" s="1287"/>
      <c r="D110" s="1287"/>
      <c r="E110" s="4034"/>
      <c r="F110" s="4034" t="s">
        <v>115</v>
      </c>
      <c r="G110" s="4034"/>
      <c r="H110" s="4034"/>
      <c r="I110" s="4036"/>
      <c r="J110" s="4036"/>
      <c r="K110" s="4035"/>
      <c r="L110" s="1293"/>
      <c r="M110" s="1290"/>
      <c r="N110" s="1290"/>
      <c r="O110" s="1290"/>
      <c r="P110" s="4037"/>
      <c r="Q110" s="4037"/>
      <c r="R110" s="291"/>
      <c r="S110" s="1978"/>
      <c r="T110" s="235"/>
      <c r="U110" s="235"/>
      <c r="V110" s="260"/>
      <c r="W110" s="260"/>
      <c r="X110" s="260"/>
      <c r="Y110" s="263" t="str">
        <f>Z109&amp;"-"&amp;AB109</f>
        <v>-</v>
      </c>
      <c r="Z110" s="4039"/>
      <c r="AA110" s="3899"/>
      <c r="AB110" s="4039"/>
      <c r="AC110" s="3899"/>
      <c r="AD110" s="260"/>
      <c r="AE110" s="260"/>
      <c r="AF110" s="260"/>
      <c r="AG110" s="263" t="str">
        <f>AH109&amp;"-"&amp;AJ109</f>
        <v>46023,5966319444-46387,596724537</v>
      </c>
      <c r="AH110" s="4039"/>
      <c r="AI110" s="3899"/>
      <c r="AJ110" s="4039"/>
      <c r="AK110" s="3899"/>
      <c r="AL110" s="260"/>
      <c r="AM110" s="4057"/>
      <c r="AN110" s="1566"/>
      <c r="AO110" s="1548"/>
      <c r="AP110" s="1548" t="str">
        <f t="shared" si="3"/>
        <v/>
      </c>
      <c r="AQ110" s="1548"/>
      <c r="AR110" s="1548"/>
      <c r="AS110" s="1559">
        <v>0</v>
      </c>
    </row>
    <row r="111" spans="1:45" s="1745" customFormat="1" ht="15" customHeight="1">
      <c r="A111" s="1287"/>
      <c r="B111" s="1287"/>
      <c r="C111" s="1287"/>
      <c r="D111" s="1287"/>
      <c r="E111" s="4034"/>
      <c r="F111" s="4034" t="s">
        <v>115</v>
      </c>
      <c r="G111" s="4034"/>
      <c r="H111" s="4034"/>
      <c r="I111" s="4036"/>
      <c r="J111" s="4035"/>
      <c r="K111" s="1287"/>
      <c r="L111" s="1293"/>
      <c r="M111" s="1290"/>
      <c r="N111" s="1290"/>
      <c r="O111" s="1672"/>
      <c r="P111" s="4037"/>
      <c r="Q111" s="4037"/>
      <c r="R111" s="290"/>
      <c r="S111" s="2363"/>
      <c r="T111" s="2364" t="s">
        <v>619</v>
      </c>
      <c r="U111" s="2365"/>
      <c r="V111" s="2366"/>
      <c r="W111" s="2367"/>
      <c r="X111" s="2368"/>
      <c r="Y111" s="2369"/>
      <c r="Z111" s="2370"/>
      <c r="AA111" s="2371"/>
      <c r="AB111" s="2372"/>
      <c r="AC111" s="2373"/>
      <c r="AD111" s="2374"/>
      <c r="AE111" s="2375"/>
      <c r="AF111" s="2376"/>
      <c r="AG111" s="2377"/>
      <c r="AH111" s="2378"/>
      <c r="AI111" s="2379"/>
      <c r="AJ111" s="2380"/>
      <c r="AK111" s="2381"/>
      <c r="AL111" s="2382"/>
      <c r="AM111" s="4058"/>
      <c r="AN111" s="1566"/>
      <c r="AO111" s="1548"/>
      <c r="AP111" s="1548" t="str">
        <f t="shared" si="3"/>
        <v>Добавить вид теплоносителя (параметры теплоносителя)</v>
      </c>
      <c r="AQ111" s="1548"/>
      <c r="AR111" s="1548"/>
      <c r="AS111" s="1559">
        <v>0</v>
      </c>
    </row>
    <row r="112" spans="1:45" s="1745" customFormat="1" ht="15" customHeight="1">
      <c r="A112" s="1287"/>
      <c r="B112" s="1287"/>
      <c r="C112" s="1287"/>
      <c r="D112" s="1287"/>
      <c r="E112" s="4034"/>
      <c r="F112" s="4034" t="s">
        <v>115</v>
      </c>
      <c r="G112" s="4034"/>
      <c r="H112" s="4034"/>
      <c r="I112" s="4035"/>
      <c r="J112" s="1287"/>
      <c r="K112" s="1287"/>
      <c r="L112" s="1293"/>
      <c r="M112" s="1290"/>
      <c r="N112" s="1672"/>
      <c r="O112" s="1672"/>
      <c r="P112" s="4037"/>
      <c r="Q112" s="1974"/>
      <c r="R112" s="290"/>
      <c r="S112" s="2383"/>
      <c r="T112" s="2384" t="s">
        <v>620</v>
      </c>
      <c r="U112" s="2385"/>
      <c r="V112" s="2386"/>
      <c r="W112" s="2387"/>
      <c r="X112" s="2388"/>
      <c r="Y112" s="2389"/>
      <c r="Z112" s="2390"/>
      <c r="AA112" s="2391"/>
      <c r="AB112" s="2392"/>
      <c r="AC112" s="2393"/>
      <c r="AD112" s="2394"/>
      <c r="AE112" s="2395"/>
      <c r="AF112" s="2396"/>
      <c r="AG112" s="2397"/>
      <c r="AH112" s="2398"/>
      <c r="AI112" s="2399"/>
      <c r="AJ112" s="2400"/>
      <c r="AK112" s="2401"/>
      <c r="AL112" s="2402"/>
      <c r="AM112" s="2403"/>
      <c r="AN112" s="1566"/>
      <c r="AO112" s="1548"/>
      <c r="AP112" s="1548" t="str">
        <f t="shared" si="3"/>
        <v>Добавить группу потребителей</v>
      </c>
      <c r="AQ112" s="1548"/>
      <c r="AR112" s="1548"/>
      <c r="AS112" s="1559">
        <v>0</v>
      </c>
    </row>
    <row r="113" spans="1:45" s="1745" customFormat="1" ht="14.25" customHeight="1">
      <c r="A113" s="1287"/>
      <c r="B113" s="1287"/>
      <c r="C113" s="1287"/>
      <c r="D113" s="1287"/>
      <c r="E113" s="4034"/>
      <c r="F113" s="4034" t="s">
        <v>115</v>
      </c>
      <c r="G113" s="4034"/>
      <c r="H113" s="4033"/>
      <c r="I113" s="1287"/>
      <c r="J113" s="1287"/>
      <c r="K113" s="1287"/>
      <c r="L113" s="1293"/>
      <c r="M113" s="1289"/>
      <c r="N113" s="1289"/>
      <c r="O113" s="1290"/>
      <c r="P113" s="1718"/>
      <c r="Q113" s="309"/>
      <c r="R113" s="289"/>
      <c r="S113" s="2404"/>
      <c r="T113" s="2405" t="s">
        <v>621</v>
      </c>
      <c r="U113" s="2406"/>
      <c r="V113" s="2407"/>
      <c r="W113" s="2408"/>
      <c r="X113" s="2409"/>
      <c r="Y113" s="2410"/>
      <c r="Z113" s="2411"/>
      <c r="AA113" s="2412"/>
      <c r="AB113" s="2413"/>
      <c r="AC113" s="2414"/>
      <c r="AD113" s="2415"/>
      <c r="AE113" s="2416"/>
      <c r="AF113" s="2417"/>
      <c r="AG113" s="2418"/>
      <c r="AH113" s="2419"/>
      <c r="AI113" s="2420"/>
      <c r="AJ113" s="2421"/>
      <c r="AK113" s="2422"/>
      <c r="AL113" s="2423"/>
      <c r="AM113" s="2424"/>
      <c r="AN113" s="1566"/>
      <c r="AO113" s="1548"/>
      <c r="AP113" s="1548" t="str">
        <f t="shared" si="3"/>
        <v>Добавить схему подключения</v>
      </c>
      <c r="AQ113" s="1548"/>
      <c r="AR113" s="1548"/>
      <c r="AS113" s="1559">
        <v>0</v>
      </c>
    </row>
    <row r="114" spans="1:45" s="556" customFormat="1" ht="0.75" customHeight="1">
      <c r="A114" s="1267"/>
      <c r="B114" s="1267"/>
      <c r="C114" s="1267"/>
      <c r="D114" s="1267"/>
      <c r="E114" s="4034"/>
      <c r="F114" s="4034" t="s">
        <v>115</v>
      </c>
      <c r="G114" s="4033"/>
      <c r="H114" s="1267"/>
      <c r="I114" s="1267"/>
      <c r="J114" s="1267"/>
      <c r="K114" s="1267"/>
      <c r="L114" s="1469"/>
      <c r="M114" s="1239"/>
      <c r="N114" s="1239"/>
      <c r="O114" s="1566"/>
      <c r="P114" s="1240"/>
      <c r="Q114" s="1268"/>
      <c r="R114" s="1240"/>
      <c r="S114" s="1242"/>
      <c r="T114" s="1243" t="s">
        <v>235</v>
      </c>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566"/>
      <c r="AO114" s="1548"/>
      <c r="AP114" s="1548" t="str">
        <f t="shared" si="3"/>
        <v>Добавить источник для дифференциации</v>
      </c>
      <c r="AQ114" s="1548"/>
      <c r="AR114" s="1548"/>
      <c r="AS114" s="1566">
        <v>0</v>
      </c>
    </row>
    <row r="115" spans="1:45" s="1745" customFormat="1" ht="23.25" customHeight="1">
      <c r="A115" s="1287"/>
      <c r="B115" s="1287"/>
      <c r="C115" s="1287" t="s">
        <v>258</v>
      </c>
      <c r="D115" s="1287"/>
      <c r="E115" s="4034"/>
      <c r="F115" s="4034"/>
      <c r="G115" s="4033" t="s">
        <v>89</v>
      </c>
      <c r="H115" s="1287"/>
      <c r="I115" s="1287"/>
      <c r="J115" s="1287"/>
      <c r="K115" s="1287"/>
      <c r="L115" s="1293"/>
      <c r="M115" s="1289"/>
      <c r="N115" s="1289"/>
      <c r="O115" s="1289"/>
      <c r="P115" s="288"/>
      <c r="Q115" s="286"/>
      <c r="R115" s="287"/>
      <c r="S115" s="1972" t="str">
        <f>INDEX(PT_DIFFERENTIATION_NUM_CS,MATCH(C115,PT_DIFFERENTIATION_CS_ID,0))</f>
        <v>1.6.2</v>
      </c>
      <c r="T115" s="244" t="s">
        <v>607</v>
      </c>
      <c r="U115" s="235"/>
      <c r="V115" s="4027"/>
      <c r="W115" s="4028"/>
      <c r="X115" s="4028"/>
      <c r="Y115" s="4028"/>
      <c r="Z115" s="4028"/>
      <c r="AA115" s="4028"/>
      <c r="AB115" s="4028"/>
      <c r="AC115" s="4029"/>
      <c r="AD115" s="4027" t="str">
        <f>INDEX(PT_DIFFERENTIATION_CS,MATCH(C115,PT_DIFFERENTIATION_CS_ID,0))</f>
        <v xml:space="preserve">котельная  №18 г. Сафоново, ул. Первомайская
</v>
      </c>
      <c r="AE115" s="4028"/>
      <c r="AF115" s="4028"/>
      <c r="AG115" s="4028"/>
      <c r="AH115" s="4028"/>
      <c r="AI115" s="4028"/>
      <c r="AJ115" s="4028"/>
      <c r="AK115" s="4028"/>
      <c r="AL115" s="4029"/>
      <c r="AM115" s="1182" t="s">
        <v>608</v>
      </c>
      <c r="AN115" s="1566"/>
      <c r="AO115" s="1548"/>
      <c r="AP115" s="1548" t="str">
        <f t="shared" si="3"/>
        <v xml:space="preserve">Наименование системы теплоснабжения </v>
      </c>
      <c r="AQ115" s="1548"/>
      <c r="AR115" s="1548"/>
      <c r="AS115" s="1559">
        <v>0</v>
      </c>
    </row>
    <row r="116" spans="1:45" s="1745" customFormat="1" ht="21" customHeight="1">
      <c r="A116" s="1287"/>
      <c r="B116" s="1287"/>
      <c r="C116" s="1287"/>
      <c r="D116" s="1287" t="s">
        <v>259</v>
      </c>
      <c r="E116" s="4034"/>
      <c r="F116" s="4034"/>
      <c r="G116" s="4034">
        <v>1</v>
      </c>
      <c r="H116" s="4033">
        <v>1</v>
      </c>
      <c r="I116" s="1287"/>
      <c r="J116" s="1287"/>
      <c r="K116" s="1287"/>
      <c r="L116" s="1293"/>
      <c r="M116" s="1289"/>
      <c r="N116" s="1289"/>
      <c r="O116" s="1289"/>
      <c r="P116" s="288"/>
      <c r="Q116" s="286"/>
      <c r="R116" s="287"/>
      <c r="S116" s="1972" t="str">
        <f>INDEX(PT_DIFFERENTIATION_NUM_IST_TE,MATCH(D116,PT_DIFFERENTIATION_IST_TE_ID,0))</f>
        <v>1.6.2.1</v>
      </c>
      <c r="T116" s="245" t="s">
        <v>609</v>
      </c>
      <c r="U116" s="235"/>
      <c r="V116" s="4027"/>
      <c r="W116" s="4028"/>
      <c r="X116" s="4028"/>
      <c r="Y116" s="4028"/>
      <c r="Z116" s="4028"/>
      <c r="AA116" s="4028"/>
      <c r="AB116" s="4028"/>
      <c r="AC116" s="4029"/>
      <c r="AD116" s="4027" t="str">
        <f>INDEX(PT_DIFFERENTIATION_IST_TE,MATCH(D116,PT_DIFFERENTIATION_IST_TE_ID,0))</f>
        <v>без дифференциации</v>
      </c>
      <c r="AE116" s="4028"/>
      <c r="AF116" s="4028"/>
      <c r="AG116" s="4028"/>
      <c r="AH116" s="4028"/>
      <c r="AI116" s="4028"/>
      <c r="AJ116" s="4028"/>
      <c r="AK116" s="4028"/>
      <c r="AL116" s="4029"/>
      <c r="AM116" s="1182" t="s">
        <v>610</v>
      </c>
      <c r="AN116" s="1566"/>
      <c r="AO116" s="1548"/>
      <c r="AP116" s="1548" t="str">
        <f t="shared" si="3"/>
        <v xml:space="preserve">Источник тепловой энергии  </v>
      </c>
      <c r="AQ116" s="1548"/>
      <c r="AR116" s="1548"/>
      <c r="AS116" s="1559">
        <v>0</v>
      </c>
    </row>
    <row r="117" spans="1:45" s="1745" customFormat="1" ht="47.25" customHeight="1">
      <c r="A117" s="1287"/>
      <c r="B117" s="1287"/>
      <c r="C117" s="1287"/>
      <c r="D117" s="1287"/>
      <c r="E117" s="4034"/>
      <c r="F117" s="4034"/>
      <c r="G117" s="4034">
        <v>1</v>
      </c>
      <c r="H117" s="4034"/>
      <c r="I117" s="4035" t="str">
        <f>S116&amp;".1"</f>
        <v>1.6.2.1.1</v>
      </c>
      <c r="J117" s="1287"/>
      <c r="K117" s="1287"/>
      <c r="L117" s="1293" t="s">
        <v>611</v>
      </c>
      <c r="M117" s="1290"/>
      <c r="N117" s="1672"/>
      <c r="O117" s="1672"/>
      <c r="P117" s="4037">
        <v>1</v>
      </c>
      <c r="Q117" s="1974"/>
      <c r="R117" s="290"/>
      <c r="S117" s="1972" t="str">
        <f>$I117</f>
        <v>1.6.2.1.1</v>
      </c>
      <c r="T117" s="220" t="s">
        <v>612</v>
      </c>
      <c r="U117" s="235"/>
      <c r="V117" s="4021"/>
      <c r="W117" s="4022"/>
      <c r="X117" s="4022"/>
      <c r="Y117" s="4022"/>
      <c r="Z117" s="4022"/>
      <c r="AA117" s="4022"/>
      <c r="AB117" s="4022"/>
      <c r="AC117" s="4023"/>
      <c r="AD117" s="4021" t="s">
        <v>654</v>
      </c>
      <c r="AE117" s="4022"/>
      <c r="AF117" s="4022"/>
      <c r="AG117" s="4022"/>
      <c r="AH117" s="4022"/>
      <c r="AI117" s="4022"/>
      <c r="AJ117" s="4022"/>
      <c r="AK117" s="4022"/>
      <c r="AL117" s="4023"/>
      <c r="AM117" s="1182" t="s">
        <v>613</v>
      </c>
      <c r="AN117" s="1566"/>
      <c r="AO117" s="1548"/>
      <c r="AP117" s="1548" t="str">
        <f t="shared" si="3"/>
        <v>Схема подключения теплопотребляющей установки к коллектору источника тепловой энергии</v>
      </c>
      <c r="AQ117" s="1548"/>
      <c r="AR117" s="1548"/>
      <c r="AS117" s="1559">
        <v>0</v>
      </c>
    </row>
    <row r="118" spans="1:45" s="1745" customFormat="1" ht="21" customHeight="1">
      <c r="A118" s="1287"/>
      <c r="B118" s="1287"/>
      <c r="C118" s="1287"/>
      <c r="D118" s="1287"/>
      <c r="E118" s="4034"/>
      <c r="F118" s="4034"/>
      <c r="G118" s="4034">
        <v>1</v>
      </c>
      <c r="H118" s="4034"/>
      <c r="I118" s="4036"/>
      <c r="J118" s="4035" t="str">
        <f>I117&amp;".1"</f>
        <v>1.6.2.1.1.1</v>
      </c>
      <c r="K118" s="1287"/>
      <c r="L118" s="1293" t="s">
        <v>614</v>
      </c>
      <c r="M118" s="1290"/>
      <c r="N118" s="1290"/>
      <c r="O118" s="1672"/>
      <c r="P118" s="4037"/>
      <c r="Q118" s="4037">
        <v>1</v>
      </c>
      <c r="R118" s="291"/>
      <c r="S118" s="1972" t="str">
        <f>$J118</f>
        <v>1.6.2.1.1.1</v>
      </c>
      <c r="T118" s="221" t="s">
        <v>615</v>
      </c>
      <c r="U118" s="235"/>
      <c r="V118" s="4021"/>
      <c r="W118" s="4022"/>
      <c r="X118" s="4022"/>
      <c r="Y118" s="4022"/>
      <c r="Z118" s="4022"/>
      <c r="AA118" s="4022"/>
      <c r="AB118" s="4022"/>
      <c r="AC118" s="4023"/>
      <c r="AD118" s="4021" t="s">
        <v>654</v>
      </c>
      <c r="AE118" s="4022"/>
      <c r="AF118" s="4022"/>
      <c r="AG118" s="4022"/>
      <c r="AH118" s="4022"/>
      <c r="AI118" s="4022"/>
      <c r="AJ118" s="4022"/>
      <c r="AK118" s="4022"/>
      <c r="AL118" s="4023"/>
      <c r="AM118" s="1182" t="s">
        <v>616</v>
      </c>
      <c r="AN118" s="1566"/>
      <c r="AO118" s="1548"/>
      <c r="AP118" s="1548" t="str">
        <f t="shared" si="3"/>
        <v>Группа потребителей</v>
      </c>
      <c r="AQ118" s="1548"/>
      <c r="AR118" s="1548"/>
      <c r="AS118" s="1559">
        <v>0</v>
      </c>
    </row>
    <row r="119" spans="1:45" s="1745" customFormat="1" ht="21" customHeight="1">
      <c r="A119" s="1287"/>
      <c r="B119" s="1287"/>
      <c r="C119" s="1287"/>
      <c r="D119" s="1287"/>
      <c r="E119" s="4034"/>
      <c r="F119" s="4034"/>
      <c r="G119" s="4034">
        <v>1</v>
      </c>
      <c r="H119" s="4034"/>
      <c r="I119" s="4036"/>
      <c r="J119" s="4036"/>
      <c r="K119" s="4035" t="str">
        <f>J118&amp;".1"</f>
        <v>1.6.2.1.1.1.1</v>
      </c>
      <c r="L119" s="1293" t="s">
        <v>617</v>
      </c>
      <c r="M119" s="1290"/>
      <c r="N119" s="1290"/>
      <c r="O119" s="1290"/>
      <c r="P119" s="4037"/>
      <c r="Q119" s="4037"/>
      <c r="R119" s="291">
        <v>1</v>
      </c>
      <c r="S119" s="1972" t="str">
        <f>$K119</f>
        <v>1.6.2.1.1.1.1</v>
      </c>
      <c r="T119" s="1271" t="s">
        <v>654</v>
      </c>
      <c r="U119" s="235"/>
      <c r="V119" s="685"/>
      <c r="W119" s="260"/>
      <c r="X119" s="685"/>
      <c r="Y119" s="1181"/>
      <c r="Z119" s="4038"/>
      <c r="AA119" s="3899" t="s">
        <v>53</v>
      </c>
      <c r="AB119" s="4038"/>
      <c r="AC119" s="3899" t="s">
        <v>53</v>
      </c>
      <c r="AD119" s="685">
        <v>2772.33</v>
      </c>
      <c r="AE119" s="260"/>
      <c r="AF119" s="685"/>
      <c r="AG119" s="1181"/>
      <c r="AH119" s="4038">
        <v>46023.596446759257</v>
      </c>
      <c r="AI119" s="3899" t="s">
        <v>53</v>
      </c>
      <c r="AJ119" s="4038">
        <v>46387.596539351849</v>
      </c>
      <c r="AK119" s="3899" t="s">
        <v>53</v>
      </c>
      <c r="AL119" s="260"/>
      <c r="AM119" s="4056" t="s">
        <v>618</v>
      </c>
      <c r="AN119" s="1566" t="e">
        <f ca="1">STRCHECKDATE(V120:AL120)</f>
        <v>#NAME?</v>
      </c>
      <c r="AO119" s="1548"/>
      <c r="AP119" s="1548" t="str">
        <f t="shared" si="3"/>
        <v>без дифференциации</v>
      </c>
      <c r="AQ119" s="1548"/>
      <c r="AR119" s="1548"/>
      <c r="AS119" s="1559">
        <v>0</v>
      </c>
    </row>
    <row r="120" spans="1:45" s="1745" customFormat="1" ht="0.75" customHeight="1">
      <c r="A120" s="1287"/>
      <c r="B120" s="1287"/>
      <c r="C120" s="1287"/>
      <c r="D120" s="1287"/>
      <c r="E120" s="4034"/>
      <c r="F120" s="4034"/>
      <c r="G120" s="4034">
        <v>1</v>
      </c>
      <c r="H120" s="4034"/>
      <c r="I120" s="4036"/>
      <c r="J120" s="4036"/>
      <c r="K120" s="4035"/>
      <c r="L120" s="1293"/>
      <c r="M120" s="1290"/>
      <c r="N120" s="1290"/>
      <c r="O120" s="1290"/>
      <c r="P120" s="4037"/>
      <c r="Q120" s="4037"/>
      <c r="R120" s="291"/>
      <c r="S120" s="1978"/>
      <c r="T120" s="235"/>
      <c r="U120" s="235"/>
      <c r="V120" s="260"/>
      <c r="W120" s="260"/>
      <c r="X120" s="260"/>
      <c r="Y120" s="263" t="str">
        <f>Z119&amp;"-"&amp;AB119</f>
        <v>-</v>
      </c>
      <c r="Z120" s="4039"/>
      <c r="AA120" s="3899"/>
      <c r="AB120" s="4039"/>
      <c r="AC120" s="3899"/>
      <c r="AD120" s="260"/>
      <c r="AE120" s="260"/>
      <c r="AF120" s="260"/>
      <c r="AG120" s="263" t="str">
        <f>AH119&amp;"-"&amp;AJ119</f>
        <v>46023,5964467593-46387,5965393518</v>
      </c>
      <c r="AH120" s="4039"/>
      <c r="AI120" s="3899"/>
      <c r="AJ120" s="4039"/>
      <c r="AK120" s="3899"/>
      <c r="AL120" s="260"/>
      <c r="AM120" s="4057"/>
      <c r="AN120" s="1566"/>
      <c r="AO120" s="1548"/>
      <c r="AP120" s="1548" t="str">
        <f t="shared" si="3"/>
        <v/>
      </c>
      <c r="AQ120" s="1548"/>
      <c r="AR120" s="1548"/>
      <c r="AS120" s="1559">
        <v>0</v>
      </c>
    </row>
    <row r="121" spans="1:45" s="1745" customFormat="1" ht="15" customHeight="1">
      <c r="A121" s="1287"/>
      <c r="B121" s="1287"/>
      <c r="C121" s="1287"/>
      <c r="D121" s="1287"/>
      <c r="E121" s="4034"/>
      <c r="F121" s="4034"/>
      <c r="G121" s="4034">
        <v>1</v>
      </c>
      <c r="H121" s="4034"/>
      <c r="I121" s="4036"/>
      <c r="J121" s="4035"/>
      <c r="K121" s="1287"/>
      <c r="L121" s="1293"/>
      <c r="M121" s="1290"/>
      <c r="N121" s="1290"/>
      <c r="O121" s="1672"/>
      <c r="P121" s="4037"/>
      <c r="Q121" s="4037"/>
      <c r="R121" s="290"/>
      <c r="S121" s="2425"/>
      <c r="T121" s="2426" t="s">
        <v>619</v>
      </c>
      <c r="U121" s="2427"/>
      <c r="V121" s="2428"/>
      <c r="W121" s="2429"/>
      <c r="X121" s="2430"/>
      <c r="Y121" s="2431"/>
      <c r="Z121" s="2432"/>
      <c r="AA121" s="2433"/>
      <c r="AB121" s="2434"/>
      <c r="AC121" s="2435"/>
      <c r="AD121" s="2436"/>
      <c r="AE121" s="2437"/>
      <c r="AF121" s="2438"/>
      <c r="AG121" s="2439"/>
      <c r="AH121" s="2440"/>
      <c r="AI121" s="2441"/>
      <c r="AJ121" s="2442"/>
      <c r="AK121" s="2443"/>
      <c r="AL121" s="2444"/>
      <c r="AM121" s="4058"/>
      <c r="AN121" s="1566"/>
      <c r="AO121" s="1548"/>
      <c r="AP121" s="1548" t="str">
        <f t="shared" si="3"/>
        <v>Добавить вид теплоносителя (параметры теплоносителя)</v>
      </c>
      <c r="AQ121" s="1548"/>
      <c r="AR121" s="1548"/>
      <c r="AS121" s="1559">
        <v>0</v>
      </c>
    </row>
    <row r="122" spans="1:45" s="1745" customFormat="1" ht="15" customHeight="1">
      <c r="A122" s="1287"/>
      <c r="B122" s="1287"/>
      <c r="C122" s="1287"/>
      <c r="D122" s="1287"/>
      <c r="E122" s="4034"/>
      <c r="F122" s="4034"/>
      <c r="G122" s="4034">
        <v>1</v>
      </c>
      <c r="H122" s="4034"/>
      <c r="I122" s="4035"/>
      <c r="J122" s="1287"/>
      <c r="K122" s="1287"/>
      <c r="L122" s="1293"/>
      <c r="M122" s="1290"/>
      <c r="N122" s="1672"/>
      <c r="O122" s="1672"/>
      <c r="P122" s="4037"/>
      <c r="Q122" s="1974"/>
      <c r="R122" s="290"/>
      <c r="S122" s="2445"/>
      <c r="T122" s="2446" t="s">
        <v>620</v>
      </c>
      <c r="U122" s="2447"/>
      <c r="V122" s="2448"/>
      <c r="W122" s="2449"/>
      <c r="X122" s="2450"/>
      <c r="Y122" s="2451"/>
      <c r="Z122" s="2452"/>
      <c r="AA122" s="2453"/>
      <c r="AB122" s="2454"/>
      <c r="AC122" s="2455"/>
      <c r="AD122" s="2456"/>
      <c r="AE122" s="2457"/>
      <c r="AF122" s="2458"/>
      <c r="AG122" s="2459"/>
      <c r="AH122" s="2460"/>
      <c r="AI122" s="2461"/>
      <c r="AJ122" s="2462"/>
      <c r="AK122" s="2463"/>
      <c r="AL122" s="2464"/>
      <c r="AM122" s="2465"/>
      <c r="AN122" s="1566"/>
      <c r="AO122" s="1548"/>
      <c r="AP122" s="1548" t="str">
        <f t="shared" si="3"/>
        <v>Добавить группу потребителей</v>
      </c>
      <c r="AQ122" s="1548"/>
      <c r="AR122" s="1548"/>
      <c r="AS122" s="1559">
        <v>0</v>
      </c>
    </row>
    <row r="123" spans="1:45" s="1745" customFormat="1" ht="14.25" customHeight="1">
      <c r="A123" s="1287"/>
      <c r="B123" s="1287"/>
      <c r="C123" s="1287"/>
      <c r="D123" s="1287"/>
      <c r="E123" s="4034"/>
      <c r="F123" s="4034"/>
      <c r="G123" s="4034">
        <v>1</v>
      </c>
      <c r="H123" s="4033"/>
      <c r="I123" s="1287"/>
      <c r="J123" s="1287"/>
      <c r="K123" s="1287"/>
      <c r="L123" s="1293"/>
      <c r="M123" s="1289"/>
      <c r="N123" s="1289"/>
      <c r="O123" s="1290"/>
      <c r="P123" s="1718"/>
      <c r="Q123" s="309"/>
      <c r="R123" s="289"/>
      <c r="S123" s="2466"/>
      <c r="T123" s="2467" t="s">
        <v>621</v>
      </c>
      <c r="U123" s="2468"/>
      <c r="V123" s="2469"/>
      <c r="W123" s="2470"/>
      <c r="X123" s="2471"/>
      <c r="Y123" s="2472"/>
      <c r="Z123" s="2473"/>
      <c r="AA123" s="2474"/>
      <c r="AB123" s="2475"/>
      <c r="AC123" s="2476"/>
      <c r="AD123" s="2477"/>
      <c r="AE123" s="2478"/>
      <c r="AF123" s="2479"/>
      <c r="AG123" s="2480"/>
      <c r="AH123" s="2481"/>
      <c r="AI123" s="2482"/>
      <c r="AJ123" s="2483"/>
      <c r="AK123" s="2484"/>
      <c r="AL123" s="2485"/>
      <c r="AM123" s="2486"/>
      <c r="AN123" s="1566"/>
      <c r="AO123" s="1548"/>
      <c r="AP123" s="1548" t="str">
        <f t="shared" si="3"/>
        <v>Добавить схему подключения</v>
      </c>
      <c r="AQ123" s="1548"/>
      <c r="AR123" s="1548"/>
      <c r="AS123" s="1559">
        <v>0</v>
      </c>
    </row>
    <row r="124" spans="1:45" s="556" customFormat="1" ht="0.75" customHeight="1">
      <c r="A124" s="1267"/>
      <c r="B124" s="1267"/>
      <c r="C124" s="1267"/>
      <c r="D124" s="1267"/>
      <c r="E124" s="4034"/>
      <c r="F124" s="4034"/>
      <c r="G124" s="4033">
        <v>1</v>
      </c>
      <c r="H124" s="1267"/>
      <c r="I124" s="1267"/>
      <c r="J124" s="1267"/>
      <c r="K124" s="1267"/>
      <c r="L124" s="1469"/>
      <c r="M124" s="1239"/>
      <c r="N124" s="1239"/>
      <c r="O124" s="1566"/>
      <c r="P124" s="1240"/>
      <c r="Q124" s="1268"/>
      <c r="R124" s="1240"/>
      <c r="S124" s="1242"/>
      <c r="T124" s="1243" t="s">
        <v>235</v>
      </c>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566"/>
      <c r="AO124" s="1548"/>
      <c r="AP124" s="1548" t="str">
        <f t="shared" si="3"/>
        <v>Добавить источник для дифференциации</v>
      </c>
      <c r="AQ124" s="1548"/>
      <c r="AR124" s="1548"/>
      <c r="AS124" s="1566">
        <v>0</v>
      </c>
    </row>
    <row r="125" spans="1:45" s="556" customFormat="1" ht="0.75" customHeight="1">
      <c r="A125" s="1267"/>
      <c r="B125" s="1267"/>
      <c r="C125" s="1267"/>
      <c r="D125" s="1267"/>
      <c r="E125" s="4034"/>
      <c r="F125" s="4033" t="s">
        <v>115</v>
      </c>
      <c r="G125" s="1267"/>
      <c r="H125" s="1267"/>
      <c r="I125" s="1267"/>
      <c r="J125" s="1267"/>
      <c r="K125" s="1267"/>
      <c r="L125" s="1469"/>
      <c r="M125" s="1245"/>
      <c r="N125" s="1245"/>
      <c r="O125" s="1566"/>
      <c r="P125" s="1240"/>
      <c r="Q125" s="1268"/>
      <c r="R125" s="1240"/>
      <c r="S125" s="1246"/>
      <c r="T125" s="1247" t="s">
        <v>236</v>
      </c>
      <c r="U125" s="1248"/>
      <c r="V125" s="1248"/>
      <c r="W125" s="1248"/>
      <c r="X125" s="1248"/>
      <c r="Y125" s="1248"/>
      <c r="Z125" s="1248"/>
      <c r="AA125" s="1248"/>
      <c r="AB125" s="1248"/>
      <c r="AC125" s="1248"/>
      <c r="AD125" s="1248"/>
      <c r="AE125" s="1248"/>
      <c r="AF125" s="1248"/>
      <c r="AG125" s="1248"/>
      <c r="AH125" s="1248"/>
      <c r="AI125" s="1248"/>
      <c r="AJ125" s="1248"/>
      <c r="AK125" s="1248"/>
      <c r="AL125" s="1248"/>
      <c r="AM125" s="1248"/>
      <c r="AN125" s="1566"/>
      <c r="AO125" s="1548"/>
      <c r="AP125" s="1548" t="str">
        <f t="shared" si="3"/>
        <v>Добавить централизованную систему для дифференциации</v>
      </c>
      <c r="AQ125" s="1548"/>
      <c r="AR125" s="1548"/>
      <c r="AS125" s="1566">
        <v>0</v>
      </c>
    </row>
    <row r="126" spans="1:45" s="1745" customFormat="1" ht="21" customHeight="1">
      <c r="A126" s="1287"/>
      <c r="B126" s="1287" t="s">
        <v>261</v>
      </c>
      <c r="C126" s="1287"/>
      <c r="D126" s="1287"/>
      <c r="E126" s="4034"/>
      <c r="F126" s="4033" t="s">
        <v>80</v>
      </c>
      <c r="G126" s="1287"/>
      <c r="H126" s="1287"/>
      <c r="I126" s="1287"/>
      <c r="J126" s="1287"/>
      <c r="K126" s="1287"/>
      <c r="L126" s="1293"/>
      <c r="M126" s="1289"/>
      <c r="N126" s="1289"/>
      <c r="O126" s="1289"/>
      <c r="P126" s="1970"/>
      <c r="Q126" s="286"/>
      <c r="R126" s="287"/>
      <c r="S126" s="1972" t="str">
        <f>INDEX(PT_DIFFERENTIATION_NUM_TER,MATCH(B126,PT_DIFFERENTIATION_TER_ID,0))</f>
        <v>1.7</v>
      </c>
      <c r="T126" s="1446" t="s">
        <v>605</v>
      </c>
      <c r="U126" s="235"/>
      <c r="V126" s="4027"/>
      <c r="W126" s="4028"/>
      <c r="X126" s="4028"/>
      <c r="Y126" s="4028"/>
      <c r="Z126" s="4028"/>
      <c r="AA126" s="4028"/>
      <c r="AB126" s="4028"/>
      <c r="AC126" s="4029"/>
      <c r="AD126" s="4027" t="str">
        <f>INDEX(PT_DIFFERENTIATION_TER,MATCH(B126,PT_DIFFERENTIATION_TER_ID,0))</f>
        <v>Территория 7</v>
      </c>
      <c r="AE126" s="4028"/>
      <c r="AF126" s="4028"/>
      <c r="AG126" s="4028"/>
      <c r="AH126" s="4028"/>
      <c r="AI126" s="4028"/>
      <c r="AJ126" s="4028"/>
      <c r="AK126" s="4028"/>
      <c r="AL126" s="4029"/>
      <c r="AM126" s="1182" t="s">
        <v>606</v>
      </c>
      <c r="AN126" s="1566"/>
      <c r="AO126" s="1548"/>
      <c r="AP126" s="1548" t="str">
        <f t="shared" si="3"/>
        <v>Территория действия тарифа</v>
      </c>
      <c r="AQ126" s="1548"/>
      <c r="AR126" s="1548"/>
      <c r="AS126" s="1559">
        <v>0</v>
      </c>
    </row>
    <row r="127" spans="1:45" s="1745" customFormat="1" ht="23.25" customHeight="1">
      <c r="A127" s="1287"/>
      <c r="B127" s="1287"/>
      <c r="C127" s="1287" t="s">
        <v>262</v>
      </c>
      <c r="D127" s="1287"/>
      <c r="E127" s="4034"/>
      <c r="F127" s="4034" t="s">
        <v>79</v>
      </c>
      <c r="G127" s="4033">
        <v>1</v>
      </c>
      <c r="H127" s="1287"/>
      <c r="I127" s="1287"/>
      <c r="J127" s="1287"/>
      <c r="K127" s="1287"/>
      <c r="L127" s="1293"/>
      <c r="M127" s="1289"/>
      <c r="N127" s="1289"/>
      <c r="O127" s="1289"/>
      <c r="P127" s="288"/>
      <c r="Q127" s="286"/>
      <c r="R127" s="287"/>
      <c r="S127" s="1972" t="str">
        <f>INDEX(PT_DIFFERENTIATION_NUM_CS,MATCH(C127,PT_DIFFERENTIATION_CS_ID,0))</f>
        <v>1.7.1</v>
      </c>
      <c r="T127" s="244" t="s">
        <v>607</v>
      </c>
      <c r="U127" s="235"/>
      <c r="V127" s="4027"/>
      <c r="W127" s="4028"/>
      <c r="X127" s="4028"/>
      <c r="Y127" s="4028"/>
      <c r="Z127" s="4028"/>
      <c r="AA127" s="4028"/>
      <c r="AB127" s="4028"/>
      <c r="AC127" s="4029"/>
      <c r="AD127" s="4027" t="str">
        <f>INDEX(PT_DIFFERENTIATION_CS,MATCH(C127,PT_DIFFERENTIATION_CS_ID,0))</f>
        <v xml:space="preserve">котельная БМК Михайловское
</v>
      </c>
      <c r="AE127" s="4028"/>
      <c r="AF127" s="4028"/>
      <c r="AG127" s="4028"/>
      <c r="AH127" s="4028"/>
      <c r="AI127" s="4028"/>
      <c r="AJ127" s="4028"/>
      <c r="AK127" s="4028"/>
      <c r="AL127" s="4029"/>
      <c r="AM127" s="1182" t="s">
        <v>608</v>
      </c>
      <c r="AN127" s="1566"/>
      <c r="AO127" s="1548"/>
      <c r="AP127" s="1548" t="str">
        <f t="shared" si="3"/>
        <v xml:space="preserve">Наименование системы теплоснабжения </v>
      </c>
      <c r="AQ127" s="1548"/>
      <c r="AR127" s="1548"/>
      <c r="AS127" s="1559">
        <v>0</v>
      </c>
    </row>
    <row r="128" spans="1:45" s="1745" customFormat="1" ht="21" customHeight="1">
      <c r="A128" s="1287"/>
      <c r="B128" s="1287"/>
      <c r="C128" s="1287"/>
      <c r="D128" s="1287" t="s">
        <v>263</v>
      </c>
      <c r="E128" s="4034"/>
      <c r="F128" s="4034" t="s">
        <v>79</v>
      </c>
      <c r="G128" s="4034"/>
      <c r="H128" s="4033">
        <v>1</v>
      </c>
      <c r="I128" s="1287"/>
      <c r="J128" s="1287"/>
      <c r="K128" s="1287"/>
      <c r="L128" s="1293"/>
      <c r="M128" s="1289"/>
      <c r="N128" s="1289"/>
      <c r="O128" s="1289"/>
      <c r="P128" s="288"/>
      <c r="Q128" s="286"/>
      <c r="R128" s="287"/>
      <c r="S128" s="1972" t="str">
        <f>INDEX(PT_DIFFERENTIATION_NUM_IST_TE,MATCH(D128,PT_DIFFERENTIATION_IST_TE_ID,0))</f>
        <v>1.7.1.1</v>
      </c>
      <c r="T128" s="245" t="s">
        <v>609</v>
      </c>
      <c r="U128" s="235"/>
      <c r="V128" s="4027"/>
      <c r="W128" s="4028"/>
      <c r="X128" s="4028"/>
      <c r="Y128" s="4028"/>
      <c r="Z128" s="4028"/>
      <c r="AA128" s="4028"/>
      <c r="AB128" s="4028"/>
      <c r="AC128" s="4029"/>
      <c r="AD128" s="4027" t="str">
        <f>INDEX(PT_DIFFERENTIATION_IST_TE,MATCH(D128,PT_DIFFERENTIATION_IST_TE_ID,0))</f>
        <v>без дифференциации</v>
      </c>
      <c r="AE128" s="4028"/>
      <c r="AF128" s="4028"/>
      <c r="AG128" s="4028"/>
      <c r="AH128" s="4028"/>
      <c r="AI128" s="4028"/>
      <c r="AJ128" s="4028"/>
      <c r="AK128" s="4028"/>
      <c r="AL128" s="4029"/>
      <c r="AM128" s="1182" t="s">
        <v>610</v>
      </c>
      <c r="AN128" s="1566"/>
      <c r="AO128" s="1548"/>
      <c r="AP128" s="1548" t="str">
        <f t="shared" si="3"/>
        <v xml:space="preserve">Источник тепловой энергии  </v>
      </c>
      <c r="AQ128" s="1548"/>
      <c r="AR128" s="1548"/>
      <c r="AS128" s="1559">
        <v>0</v>
      </c>
    </row>
    <row r="129" spans="1:45" s="1745" customFormat="1" ht="47.25" customHeight="1">
      <c r="A129" s="1287"/>
      <c r="B129" s="1287"/>
      <c r="C129" s="1287"/>
      <c r="D129" s="1287"/>
      <c r="E129" s="4034"/>
      <c r="F129" s="4034" t="s">
        <v>79</v>
      </c>
      <c r="G129" s="4034"/>
      <c r="H129" s="4034"/>
      <c r="I129" s="4035" t="str">
        <f>S128&amp;".1"</f>
        <v>1.7.1.1.1</v>
      </c>
      <c r="J129" s="1287"/>
      <c r="K129" s="1287"/>
      <c r="L129" s="1293" t="s">
        <v>611</v>
      </c>
      <c r="M129" s="1290"/>
      <c r="N129" s="1672"/>
      <c r="O129" s="1672"/>
      <c r="P129" s="4037">
        <v>1</v>
      </c>
      <c r="Q129" s="1974"/>
      <c r="R129" s="290"/>
      <c r="S129" s="1972" t="str">
        <f>$I129</f>
        <v>1.7.1.1.1</v>
      </c>
      <c r="T129" s="220" t="s">
        <v>612</v>
      </c>
      <c r="U129" s="235"/>
      <c r="V129" s="4021"/>
      <c r="W129" s="4022"/>
      <c r="X129" s="4022"/>
      <c r="Y129" s="4022"/>
      <c r="Z129" s="4022"/>
      <c r="AA129" s="4022"/>
      <c r="AB129" s="4022"/>
      <c r="AC129" s="4023"/>
      <c r="AD129" s="4021" t="s">
        <v>654</v>
      </c>
      <c r="AE129" s="4022"/>
      <c r="AF129" s="4022"/>
      <c r="AG129" s="4022"/>
      <c r="AH129" s="4022"/>
      <c r="AI129" s="4022"/>
      <c r="AJ129" s="4022"/>
      <c r="AK129" s="4022"/>
      <c r="AL129" s="4023"/>
      <c r="AM129" s="1182" t="s">
        <v>613</v>
      </c>
      <c r="AN129" s="1566"/>
      <c r="AO129" s="1548"/>
      <c r="AP129" s="1548" t="str">
        <f t="shared" si="3"/>
        <v>Схема подключения теплопотребляющей установки к коллектору источника тепловой энергии</v>
      </c>
      <c r="AQ129" s="1548"/>
      <c r="AR129" s="1548"/>
      <c r="AS129" s="1559">
        <v>0</v>
      </c>
    </row>
    <row r="130" spans="1:45" s="1745" customFormat="1" ht="21" customHeight="1">
      <c r="A130" s="1287"/>
      <c r="B130" s="1287"/>
      <c r="C130" s="1287"/>
      <c r="D130" s="1287"/>
      <c r="E130" s="4034"/>
      <c r="F130" s="4034" t="s">
        <v>79</v>
      </c>
      <c r="G130" s="4034"/>
      <c r="H130" s="4034"/>
      <c r="I130" s="4036"/>
      <c r="J130" s="4035" t="str">
        <f>I129&amp;".1"</f>
        <v>1.7.1.1.1.1</v>
      </c>
      <c r="K130" s="1287"/>
      <c r="L130" s="1293" t="s">
        <v>614</v>
      </c>
      <c r="M130" s="1290"/>
      <c r="N130" s="1290"/>
      <c r="O130" s="1672"/>
      <c r="P130" s="4037"/>
      <c r="Q130" s="4037">
        <v>1</v>
      </c>
      <c r="R130" s="291"/>
      <c r="S130" s="1972" t="str">
        <f>$J130</f>
        <v>1.7.1.1.1.1</v>
      </c>
      <c r="T130" s="221" t="s">
        <v>615</v>
      </c>
      <c r="U130" s="235"/>
      <c r="V130" s="4021"/>
      <c r="W130" s="4022"/>
      <c r="X130" s="4022"/>
      <c r="Y130" s="4022"/>
      <c r="Z130" s="4022"/>
      <c r="AA130" s="4022"/>
      <c r="AB130" s="4022"/>
      <c r="AC130" s="4023"/>
      <c r="AD130" s="4021" t="s">
        <v>654</v>
      </c>
      <c r="AE130" s="4022"/>
      <c r="AF130" s="4022"/>
      <c r="AG130" s="4022"/>
      <c r="AH130" s="4022"/>
      <c r="AI130" s="4022"/>
      <c r="AJ130" s="4022"/>
      <c r="AK130" s="4022"/>
      <c r="AL130" s="4023"/>
      <c r="AM130" s="1182" t="s">
        <v>616</v>
      </c>
      <c r="AN130" s="1566"/>
      <c r="AO130" s="1548"/>
      <c r="AP130" s="1548" t="str">
        <f t="shared" si="3"/>
        <v>Группа потребителей</v>
      </c>
      <c r="AQ130" s="1548"/>
      <c r="AR130" s="1548"/>
      <c r="AS130" s="1559">
        <v>0</v>
      </c>
    </row>
    <row r="131" spans="1:45" s="1745" customFormat="1" ht="21" customHeight="1">
      <c r="A131" s="1287"/>
      <c r="B131" s="1287"/>
      <c r="C131" s="1287"/>
      <c r="D131" s="1287"/>
      <c r="E131" s="4034"/>
      <c r="F131" s="4034" t="s">
        <v>79</v>
      </c>
      <c r="G131" s="4034"/>
      <c r="H131" s="4034"/>
      <c r="I131" s="4036"/>
      <c r="J131" s="4036"/>
      <c r="K131" s="4035" t="str">
        <f>J130&amp;".1"</f>
        <v>1.7.1.1.1.1.1</v>
      </c>
      <c r="L131" s="1293" t="s">
        <v>617</v>
      </c>
      <c r="M131" s="1290"/>
      <c r="N131" s="1290"/>
      <c r="O131" s="1290"/>
      <c r="P131" s="4037"/>
      <c r="Q131" s="4037"/>
      <c r="R131" s="291">
        <v>1</v>
      </c>
      <c r="S131" s="1972" t="str">
        <f>$K131</f>
        <v>1.7.1.1.1.1.1</v>
      </c>
      <c r="T131" s="1271" t="s">
        <v>654</v>
      </c>
      <c r="U131" s="235"/>
      <c r="V131" s="685"/>
      <c r="W131" s="260"/>
      <c r="X131" s="685"/>
      <c r="Y131" s="1181"/>
      <c r="Z131" s="4038"/>
      <c r="AA131" s="3899" t="s">
        <v>53</v>
      </c>
      <c r="AB131" s="4038"/>
      <c r="AC131" s="3899" t="s">
        <v>53</v>
      </c>
      <c r="AD131" s="685">
        <v>4894.9799999999996</v>
      </c>
      <c r="AE131" s="260"/>
      <c r="AF131" s="685"/>
      <c r="AG131" s="1181"/>
      <c r="AH131" s="4038">
        <v>46023.596238425926</v>
      </c>
      <c r="AI131" s="3899" t="s">
        <v>53</v>
      </c>
      <c r="AJ131" s="4038">
        <v>46387.596331018518</v>
      </c>
      <c r="AK131" s="3899" t="s">
        <v>53</v>
      </c>
      <c r="AL131" s="260"/>
      <c r="AM131" s="4056" t="s">
        <v>618</v>
      </c>
      <c r="AN131" s="1566" t="e">
        <f ca="1">STRCHECKDATE(V132:AL132)</f>
        <v>#NAME?</v>
      </c>
      <c r="AO131" s="1548"/>
      <c r="AP131" s="1548" t="str">
        <f t="shared" si="3"/>
        <v>без дифференциации</v>
      </c>
      <c r="AQ131" s="1548"/>
      <c r="AR131" s="1548"/>
      <c r="AS131" s="1559">
        <v>0</v>
      </c>
    </row>
    <row r="132" spans="1:45" s="1745" customFormat="1" ht="0.75" customHeight="1">
      <c r="A132" s="1287"/>
      <c r="B132" s="1287"/>
      <c r="C132" s="1287"/>
      <c r="D132" s="1287"/>
      <c r="E132" s="4034"/>
      <c r="F132" s="4034" t="s">
        <v>79</v>
      </c>
      <c r="G132" s="4034"/>
      <c r="H132" s="4034"/>
      <c r="I132" s="4036"/>
      <c r="J132" s="4036"/>
      <c r="K132" s="4035"/>
      <c r="L132" s="1293"/>
      <c r="M132" s="1290"/>
      <c r="N132" s="1290"/>
      <c r="O132" s="1290"/>
      <c r="P132" s="4037"/>
      <c r="Q132" s="4037"/>
      <c r="R132" s="291"/>
      <c r="S132" s="1978"/>
      <c r="T132" s="235"/>
      <c r="U132" s="235"/>
      <c r="V132" s="260"/>
      <c r="W132" s="260"/>
      <c r="X132" s="260"/>
      <c r="Y132" s="263" t="str">
        <f>Z131&amp;"-"&amp;AB131</f>
        <v>-</v>
      </c>
      <c r="Z132" s="4039"/>
      <c r="AA132" s="3899"/>
      <c r="AB132" s="4039"/>
      <c r="AC132" s="3899"/>
      <c r="AD132" s="260"/>
      <c r="AE132" s="260"/>
      <c r="AF132" s="260"/>
      <c r="AG132" s="263" t="str">
        <f>AH131&amp;"-"&amp;AJ131</f>
        <v>46023,5962384259-46387,5963310185</v>
      </c>
      <c r="AH132" s="4039"/>
      <c r="AI132" s="3899"/>
      <c r="AJ132" s="4039"/>
      <c r="AK132" s="3899"/>
      <c r="AL132" s="260"/>
      <c r="AM132" s="4057"/>
      <c r="AN132" s="1566"/>
      <c r="AO132" s="1548"/>
      <c r="AP132" s="1548" t="str">
        <f t="shared" si="3"/>
        <v/>
      </c>
      <c r="AQ132" s="1548"/>
      <c r="AR132" s="1548"/>
      <c r="AS132" s="1559">
        <v>0</v>
      </c>
    </row>
    <row r="133" spans="1:45" s="1745" customFormat="1" ht="15" customHeight="1">
      <c r="A133" s="1287"/>
      <c r="B133" s="1287"/>
      <c r="C133" s="1287"/>
      <c r="D133" s="1287"/>
      <c r="E133" s="4034"/>
      <c r="F133" s="4034" t="s">
        <v>79</v>
      </c>
      <c r="G133" s="4034"/>
      <c r="H133" s="4034"/>
      <c r="I133" s="4036"/>
      <c r="J133" s="4035"/>
      <c r="K133" s="1287"/>
      <c r="L133" s="1293"/>
      <c r="M133" s="1290"/>
      <c r="N133" s="1290"/>
      <c r="O133" s="1672"/>
      <c r="P133" s="4037"/>
      <c r="Q133" s="4037"/>
      <c r="R133" s="290"/>
      <c r="S133" s="2487"/>
      <c r="T133" s="2488" t="s">
        <v>619</v>
      </c>
      <c r="U133" s="2489"/>
      <c r="V133" s="2490"/>
      <c r="W133" s="2491"/>
      <c r="X133" s="2492"/>
      <c r="Y133" s="2493"/>
      <c r="Z133" s="2494"/>
      <c r="AA133" s="2495"/>
      <c r="AB133" s="2496"/>
      <c r="AC133" s="2497"/>
      <c r="AD133" s="2498"/>
      <c r="AE133" s="2499"/>
      <c r="AF133" s="2500"/>
      <c r="AG133" s="2501"/>
      <c r="AH133" s="2502"/>
      <c r="AI133" s="2503"/>
      <c r="AJ133" s="2504"/>
      <c r="AK133" s="2505"/>
      <c r="AL133" s="2506"/>
      <c r="AM133" s="4058"/>
      <c r="AN133" s="1566"/>
      <c r="AO133" s="1548"/>
      <c r="AP133" s="1548" t="str">
        <f t="shared" si="3"/>
        <v>Добавить вид теплоносителя (параметры теплоносителя)</v>
      </c>
      <c r="AQ133" s="1548"/>
      <c r="AR133" s="1548"/>
      <c r="AS133" s="1559">
        <v>0</v>
      </c>
    </row>
    <row r="134" spans="1:45" s="1745" customFormat="1" ht="15" customHeight="1">
      <c r="A134" s="1287"/>
      <c r="B134" s="1287"/>
      <c r="C134" s="1287"/>
      <c r="D134" s="1287"/>
      <c r="E134" s="4034"/>
      <c r="F134" s="4034" t="s">
        <v>79</v>
      </c>
      <c r="G134" s="4034"/>
      <c r="H134" s="4034"/>
      <c r="I134" s="4035"/>
      <c r="J134" s="1287"/>
      <c r="K134" s="1287"/>
      <c r="L134" s="1293"/>
      <c r="M134" s="1290"/>
      <c r="N134" s="1672"/>
      <c r="O134" s="1672"/>
      <c r="P134" s="4037"/>
      <c r="Q134" s="1974"/>
      <c r="R134" s="290"/>
      <c r="S134" s="2507"/>
      <c r="T134" s="2508" t="s">
        <v>620</v>
      </c>
      <c r="U134" s="2509"/>
      <c r="V134" s="2510"/>
      <c r="W134" s="2511"/>
      <c r="X134" s="2512"/>
      <c r="Y134" s="2513"/>
      <c r="Z134" s="2514"/>
      <c r="AA134" s="2515"/>
      <c r="AB134" s="2516"/>
      <c r="AC134" s="2517"/>
      <c r="AD134" s="2518"/>
      <c r="AE134" s="2519"/>
      <c r="AF134" s="2520"/>
      <c r="AG134" s="2521"/>
      <c r="AH134" s="2522"/>
      <c r="AI134" s="2523"/>
      <c r="AJ134" s="2524"/>
      <c r="AK134" s="2525"/>
      <c r="AL134" s="2526"/>
      <c r="AM134" s="2527"/>
      <c r="AN134" s="1566"/>
      <c r="AO134" s="1548"/>
      <c r="AP134" s="1548" t="str">
        <f t="shared" si="3"/>
        <v>Добавить группу потребителей</v>
      </c>
      <c r="AQ134" s="1548"/>
      <c r="AR134" s="1548"/>
      <c r="AS134" s="1559">
        <v>0</v>
      </c>
    </row>
    <row r="135" spans="1:45" s="1745" customFormat="1" ht="14.25" customHeight="1">
      <c r="A135" s="1287"/>
      <c r="B135" s="1287"/>
      <c r="C135" s="1287"/>
      <c r="D135" s="1287"/>
      <c r="E135" s="4034"/>
      <c r="F135" s="4034" t="s">
        <v>79</v>
      </c>
      <c r="G135" s="4034"/>
      <c r="H135" s="4033"/>
      <c r="I135" s="1287"/>
      <c r="J135" s="1287"/>
      <c r="K135" s="1287"/>
      <c r="L135" s="1293"/>
      <c r="M135" s="1289"/>
      <c r="N135" s="1289"/>
      <c r="O135" s="1290"/>
      <c r="P135" s="1718"/>
      <c r="Q135" s="309"/>
      <c r="R135" s="289"/>
      <c r="S135" s="2528"/>
      <c r="T135" s="2529" t="s">
        <v>621</v>
      </c>
      <c r="U135" s="2530"/>
      <c r="V135" s="2531"/>
      <c r="W135" s="2532"/>
      <c r="X135" s="2533"/>
      <c r="Y135" s="2534"/>
      <c r="Z135" s="2535"/>
      <c r="AA135" s="2536"/>
      <c r="AB135" s="2537"/>
      <c r="AC135" s="2538"/>
      <c r="AD135" s="2539"/>
      <c r="AE135" s="2540"/>
      <c r="AF135" s="2541"/>
      <c r="AG135" s="2542"/>
      <c r="AH135" s="2543"/>
      <c r="AI135" s="2544"/>
      <c r="AJ135" s="2545"/>
      <c r="AK135" s="2546"/>
      <c r="AL135" s="2547"/>
      <c r="AM135" s="2548"/>
      <c r="AN135" s="1566"/>
      <c r="AO135" s="1548"/>
      <c r="AP135" s="1548" t="str">
        <f t="shared" si="3"/>
        <v>Добавить схему подключения</v>
      </c>
      <c r="AQ135" s="1548"/>
      <c r="AR135" s="1548"/>
      <c r="AS135" s="1559">
        <v>0</v>
      </c>
    </row>
    <row r="136" spans="1:45" s="556" customFormat="1" ht="0.75" customHeight="1">
      <c r="A136" s="1267"/>
      <c r="B136" s="1267"/>
      <c r="C136" s="1267"/>
      <c r="D136" s="1267"/>
      <c r="E136" s="4034"/>
      <c r="F136" s="4034" t="s">
        <v>79</v>
      </c>
      <c r="G136" s="4033"/>
      <c r="H136" s="1267"/>
      <c r="I136" s="1267"/>
      <c r="J136" s="1267"/>
      <c r="K136" s="1267"/>
      <c r="L136" s="1469"/>
      <c r="M136" s="1239"/>
      <c r="N136" s="1239"/>
      <c r="O136" s="1566"/>
      <c r="P136" s="1240"/>
      <c r="Q136" s="1268"/>
      <c r="R136" s="1240"/>
      <c r="S136" s="1242"/>
      <c r="T136" s="1243" t="s">
        <v>235</v>
      </c>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566"/>
      <c r="AO136" s="1548"/>
      <c r="AP136" s="1548" t="str">
        <f t="shared" si="3"/>
        <v>Добавить источник для дифференциации</v>
      </c>
      <c r="AQ136" s="1548"/>
      <c r="AR136" s="1548"/>
      <c r="AS136" s="1566">
        <v>0</v>
      </c>
    </row>
    <row r="137" spans="1:45" s="556" customFormat="1" ht="0.75" customHeight="1">
      <c r="A137" s="1267"/>
      <c r="B137" s="1267"/>
      <c r="C137" s="1267"/>
      <c r="D137" s="1267"/>
      <c r="E137" s="4034"/>
      <c r="F137" s="4033" t="s">
        <v>79</v>
      </c>
      <c r="G137" s="1267"/>
      <c r="H137" s="1267"/>
      <c r="I137" s="1267"/>
      <c r="J137" s="1267"/>
      <c r="K137" s="1267"/>
      <c r="L137" s="1469"/>
      <c r="M137" s="1245"/>
      <c r="N137" s="1245"/>
      <c r="O137" s="1566"/>
      <c r="P137" s="1240"/>
      <c r="Q137" s="1268"/>
      <c r="R137" s="1240"/>
      <c r="S137" s="1246"/>
      <c r="T137" s="1247" t="s">
        <v>236</v>
      </c>
      <c r="U137" s="1248"/>
      <c r="V137" s="1248"/>
      <c r="W137" s="1248"/>
      <c r="X137" s="1248"/>
      <c r="Y137" s="1248"/>
      <c r="Z137" s="1248"/>
      <c r="AA137" s="1248"/>
      <c r="AB137" s="1248"/>
      <c r="AC137" s="1248"/>
      <c r="AD137" s="1248"/>
      <c r="AE137" s="1248"/>
      <c r="AF137" s="1248"/>
      <c r="AG137" s="1248"/>
      <c r="AH137" s="1248"/>
      <c r="AI137" s="1248"/>
      <c r="AJ137" s="1248"/>
      <c r="AK137" s="1248"/>
      <c r="AL137" s="1248"/>
      <c r="AM137" s="1248"/>
      <c r="AN137" s="1566"/>
      <c r="AO137" s="1548"/>
      <c r="AP137" s="1548" t="str">
        <f t="shared" si="3"/>
        <v>Добавить централизованную систему для дифференциации</v>
      </c>
      <c r="AQ137" s="1548"/>
      <c r="AR137" s="1548"/>
      <c r="AS137" s="1566">
        <v>0</v>
      </c>
    </row>
    <row r="138" spans="1:45" s="1745" customFormat="1" ht="21" customHeight="1">
      <c r="A138" s="1287"/>
      <c r="B138" s="1287" t="s">
        <v>265</v>
      </c>
      <c r="C138" s="1287"/>
      <c r="D138" s="1287"/>
      <c r="E138" s="4034"/>
      <c r="F138" s="4033" t="s">
        <v>134</v>
      </c>
      <c r="G138" s="1287"/>
      <c r="H138" s="1287"/>
      <c r="I138" s="1287"/>
      <c r="J138" s="1287"/>
      <c r="K138" s="1287"/>
      <c r="L138" s="1293"/>
      <c r="M138" s="1289"/>
      <c r="N138" s="1289"/>
      <c r="O138" s="1289"/>
      <c r="P138" s="1970"/>
      <c r="Q138" s="286"/>
      <c r="R138" s="287"/>
      <c r="S138" s="1972" t="str">
        <f>INDEX(PT_DIFFERENTIATION_NUM_TER,MATCH(B138,PT_DIFFERENTIATION_TER_ID,0))</f>
        <v>1.8</v>
      </c>
      <c r="T138" s="1446" t="s">
        <v>605</v>
      </c>
      <c r="U138" s="235"/>
      <c r="V138" s="4027"/>
      <c r="W138" s="4028"/>
      <c r="X138" s="4028"/>
      <c r="Y138" s="4028"/>
      <c r="Z138" s="4028"/>
      <c r="AA138" s="4028"/>
      <c r="AB138" s="4028"/>
      <c r="AC138" s="4029"/>
      <c r="AD138" s="4027" t="str">
        <f>INDEX(PT_DIFFERENTIATION_TER,MATCH(B138,PT_DIFFERENTIATION_TER_ID,0))</f>
        <v>Территория 8</v>
      </c>
      <c r="AE138" s="4028"/>
      <c r="AF138" s="4028"/>
      <c r="AG138" s="4028"/>
      <c r="AH138" s="4028"/>
      <c r="AI138" s="4028"/>
      <c r="AJ138" s="4028"/>
      <c r="AK138" s="4028"/>
      <c r="AL138" s="4029"/>
      <c r="AM138" s="1182" t="s">
        <v>606</v>
      </c>
      <c r="AN138" s="1566"/>
      <c r="AO138" s="1548"/>
      <c r="AP138" s="1548" t="str">
        <f t="shared" si="3"/>
        <v>Территория действия тарифа</v>
      </c>
      <c r="AQ138" s="1548"/>
      <c r="AR138" s="1548"/>
      <c r="AS138" s="1559">
        <v>0</v>
      </c>
    </row>
    <row r="139" spans="1:45" s="1745" customFormat="1" ht="23.25" customHeight="1">
      <c r="A139" s="1287"/>
      <c r="B139" s="1287"/>
      <c r="C139" s="1287" t="s">
        <v>266</v>
      </c>
      <c r="D139" s="1287"/>
      <c r="E139" s="4034"/>
      <c r="F139" s="4034" t="s">
        <v>80</v>
      </c>
      <c r="G139" s="4033">
        <v>1</v>
      </c>
      <c r="H139" s="1287"/>
      <c r="I139" s="1287"/>
      <c r="J139" s="1287"/>
      <c r="K139" s="1287"/>
      <c r="L139" s="1293"/>
      <c r="M139" s="1289"/>
      <c r="N139" s="1289"/>
      <c r="O139" s="1289"/>
      <c r="P139" s="288"/>
      <c r="Q139" s="286"/>
      <c r="R139" s="287"/>
      <c r="S139" s="1972" t="str">
        <f>INDEX(PT_DIFFERENTIATION_NUM_CS,MATCH(C139,PT_DIFFERENTIATION_CS_ID,0))</f>
        <v>1.8.1</v>
      </c>
      <c r="T139" s="244" t="s">
        <v>607</v>
      </c>
      <c r="U139" s="235"/>
      <c r="V139" s="4027"/>
      <c r="W139" s="4028"/>
      <c r="X139" s="4028"/>
      <c r="Y139" s="4028"/>
      <c r="Z139" s="4028"/>
      <c r="AA139" s="4028"/>
      <c r="AB139" s="4028"/>
      <c r="AC139" s="4029"/>
      <c r="AD139" s="4027" t="str">
        <f>INDEX(PT_DIFFERENTIATION_CS,MATCH(C139,PT_DIFFERENTIATION_CS_ID,0))</f>
        <v xml:space="preserve">котельные п. Холм-Жирковский, ул. Кирова и ул. Советская
</v>
      </c>
      <c r="AE139" s="4028"/>
      <c r="AF139" s="4028"/>
      <c r="AG139" s="4028"/>
      <c r="AH139" s="4028"/>
      <c r="AI139" s="4028"/>
      <c r="AJ139" s="4028"/>
      <c r="AK139" s="4028"/>
      <c r="AL139" s="4029"/>
      <c r="AM139" s="1182" t="s">
        <v>608</v>
      </c>
      <c r="AN139" s="1566"/>
      <c r="AO139" s="1548"/>
      <c r="AP139" s="1548" t="str">
        <f t="shared" ref="AP139:AP170" si="4">IF(T139="","",T139)</f>
        <v xml:space="preserve">Наименование системы теплоснабжения </v>
      </c>
      <c r="AQ139" s="1548"/>
      <c r="AR139" s="1548"/>
      <c r="AS139" s="1559">
        <v>0</v>
      </c>
    </row>
    <row r="140" spans="1:45" s="1745" customFormat="1" ht="21" customHeight="1">
      <c r="A140" s="1287"/>
      <c r="B140" s="1287"/>
      <c r="C140" s="1287"/>
      <c r="D140" s="1287" t="s">
        <v>267</v>
      </c>
      <c r="E140" s="4034"/>
      <c r="F140" s="4034" t="s">
        <v>80</v>
      </c>
      <c r="G140" s="4034"/>
      <c r="H140" s="4033">
        <v>1</v>
      </c>
      <c r="I140" s="1287"/>
      <c r="J140" s="1287"/>
      <c r="K140" s="1287"/>
      <c r="L140" s="1293"/>
      <c r="M140" s="1289"/>
      <c r="N140" s="1289"/>
      <c r="O140" s="1289"/>
      <c r="P140" s="288"/>
      <c r="Q140" s="286"/>
      <c r="R140" s="287"/>
      <c r="S140" s="1972" t="str">
        <f>INDEX(PT_DIFFERENTIATION_NUM_IST_TE,MATCH(D140,PT_DIFFERENTIATION_IST_TE_ID,0))</f>
        <v>1.8.1.1</v>
      </c>
      <c r="T140" s="245" t="s">
        <v>609</v>
      </c>
      <c r="U140" s="235"/>
      <c r="V140" s="4027"/>
      <c r="W140" s="4028"/>
      <c r="X140" s="4028"/>
      <c r="Y140" s="4028"/>
      <c r="Z140" s="4028"/>
      <c r="AA140" s="4028"/>
      <c r="AB140" s="4028"/>
      <c r="AC140" s="4029"/>
      <c r="AD140" s="4027" t="str">
        <f>INDEX(PT_DIFFERENTIATION_IST_TE,MATCH(D140,PT_DIFFERENTIATION_IST_TE_ID,0))</f>
        <v>без дифференциации</v>
      </c>
      <c r="AE140" s="4028"/>
      <c r="AF140" s="4028"/>
      <c r="AG140" s="4028"/>
      <c r="AH140" s="4028"/>
      <c r="AI140" s="4028"/>
      <c r="AJ140" s="4028"/>
      <c r="AK140" s="4028"/>
      <c r="AL140" s="4029"/>
      <c r="AM140" s="1182" t="s">
        <v>610</v>
      </c>
      <c r="AN140" s="1566"/>
      <c r="AO140" s="1548"/>
      <c r="AP140" s="1548" t="str">
        <f t="shared" si="4"/>
        <v xml:space="preserve">Источник тепловой энергии  </v>
      </c>
      <c r="AQ140" s="1548"/>
      <c r="AR140" s="1548"/>
      <c r="AS140" s="1559">
        <v>0</v>
      </c>
    </row>
    <row r="141" spans="1:45" s="1745" customFormat="1" ht="47.25" customHeight="1">
      <c r="A141" s="1287"/>
      <c r="B141" s="1287"/>
      <c r="C141" s="1287"/>
      <c r="D141" s="1287"/>
      <c r="E141" s="4034"/>
      <c r="F141" s="4034" t="s">
        <v>80</v>
      </c>
      <c r="G141" s="4034"/>
      <c r="H141" s="4034"/>
      <c r="I141" s="4035" t="str">
        <f>S140&amp;".1"</f>
        <v>1.8.1.1.1</v>
      </c>
      <c r="J141" s="1287"/>
      <c r="K141" s="1287"/>
      <c r="L141" s="1293" t="s">
        <v>611</v>
      </c>
      <c r="M141" s="1290"/>
      <c r="N141" s="1672"/>
      <c r="O141" s="1672"/>
      <c r="P141" s="4037">
        <v>1</v>
      </c>
      <c r="Q141" s="1974"/>
      <c r="R141" s="290"/>
      <c r="S141" s="1972" t="str">
        <f>$I141</f>
        <v>1.8.1.1.1</v>
      </c>
      <c r="T141" s="220" t="s">
        <v>612</v>
      </c>
      <c r="U141" s="235"/>
      <c r="V141" s="4021"/>
      <c r="W141" s="4022"/>
      <c r="X141" s="4022"/>
      <c r="Y141" s="4022"/>
      <c r="Z141" s="4022"/>
      <c r="AA141" s="4022"/>
      <c r="AB141" s="4022"/>
      <c r="AC141" s="4023"/>
      <c r="AD141" s="4021" t="s">
        <v>654</v>
      </c>
      <c r="AE141" s="4022"/>
      <c r="AF141" s="4022"/>
      <c r="AG141" s="4022"/>
      <c r="AH141" s="4022"/>
      <c r="AI141" s="4022"/>
      <c r="AJ141" s="4022"/>
      <c r="AK141" s="4022"/>
      <c r="AL141" s="4023"/>
      <c r="AM141" s="1182" t="s">
        <v>613</v>
      </c>
      <c r="AN141" s="1566"/>
      <c r="AO141" s="1548"/>
      <c r="AP141" s="1548" t="str">
        <f t="shared" si="4"/>
        <v>Схема подключения теплопотребляющей установки к коллектору источника тепловой энергии</v>
      </c>
      <c r="AQ141" s="1548"/>
      <c r="AR141" s="1548"/>
      <c r="AS141" s="1559">
        <v>0</v>
      </c>
    </row>
    <row r="142" spans="1:45" s="1745" customFormat="1" ht="21" customHeight="1">
      <c r="A142" s="1287"/>
      <c r="B142" s="1287"/>
      <c r="C142" s="1287"/>
      <c r="D142" s="1287"/>
      <c r="E142" s="4034"/>
      <c r="F142" s="4034" t="s">
        <v>80</v>
      </c>
      <c r="G142" s="4034"/>
      <c r="H142" s="4034"/>
      <c r="I142" s="4036"/>
      <c r="J142" s="4035" t="str">
        <f>I141&amp;".1"</f>
        <v>1.8.1.1.1.1</v>
      </c>
      <c r="K142" s="1287"/>
      <c r="L142" s="1293" t="s">
        <v>614</v>
      </c>
      <c r="M142" s="1290"/>
      <c r="N142" s="1290"/>
      <c r="O142" s="1672"/>
      <c r="P142" s="4037"/>
      <c r="Q142" s="4037">
        <v>1</v>
      </c>
      <c r="R142" s="291"/>
      <c r="S142" s="1972" t="str">
        <f>$J142</f>
        <v>1.8.1.1.1.1</v>
      </c>
      <c r="T142" s="221" t="s">
        <v>615</v>
      </c>
      <c r="U142" s="235"/>
      <c r="V142" s="4021"/>
      <c r="W142" s="4022"/>
      <c r="X142" s="4022"/>
      <c r="Y142" s="4022"/>
      <c r="Z142" s="4022"/>
      <c r="AA142" s="4022"/>
      <c r="AB142" s="4022"/>
      <c r="AC142" s="4023"/>
      <c r="AD142" s="4021" t="s">
        <v>654</v>
      </c>
      <c r="AE142" s="4022"/>
      <c r="AF142" s="4022"/>
      <c r="AG142" s="4022"/>
      <c r="AH142" s="4022"/>
      <c r="AI142" s="4022"/>
      <c r="AJ142" s="4022"/>
      <c r="AK142" s="4022"/>
      <c r="AL142" s="4023"/>
      <c r="AM142" s="1182" t="s">
        <v>616</v>
      </c>
      <c r="AN142" s="1566"/>
      <c r="AO142" s="1548"/>
      <c r="AP142" s="1548" t="str">
        <f t="shared" si="4"/>
        <v>Группа потребителей</v>
      </c>
      <c r="AQ142" s="1548"/>
      <c r="AR142" s="1548"/>
      <c r="AS142" s="1559">
        <v>0</v>
      </c>
    </row>
    <row r="143" spans="1:45" s="1745" customFormat="1" ht="21" customHeight="1">
      <c r="A143" s="1287"/>
      <c r="B143" s="1287"/>
      <c r="C143" s="1287"/>
      <c r="D143" s="1287"/>
      <c r="E143" s="4034"/>
      <c r="F143" s="4034" t="s">
        <v>80</v>
      </c>
      <c r="G143" s="4034"/>
      <c r="H143" s="4034"/>
      <c r="I143" s="4036"/>
      <c r="J143" s="4036"/>
      <c r="K143" s="4035" t="str">
        <f>J142&amp;".1"</f>
        <v>1.8.1.1.1.1.1</v>
      </c>
      <c r="L143" s="1293" t="s">
        <v>617</v>
      </c>
      <c r="M143" s="1290"/>
      <c r="N143" s="1290"/>
      <c r="O143" s="1290"/>
      <c r="P143" s="4037"/>
      <c r="Q143" s="4037"/>
      <c r="R143" s="291">
        <v>1</v>
      </c>
      <c r="S143" s="1972" t="str">
        <f>$K143</f>
        <v>1.8.1.1.1.1.1</v>
      </c>
      <c r="T143" s="1271" t="s">
        <v>654</v>
      </c>
      <c r="U143" s="235"/>
      <c r="V143" s="685"/>
      <c r="W143" s="260"/>
      <c r="X143" s="685"/>
      <c r="Y143" s="1181"/>
      <c r="Z143" s="4038"/>
      <c r="AA143" s="3899" t="s">
        <v>53</v>
      </c>
      <c r="AB143" s="4038"/>
      <c r="AC143" s="3899" t="s">
        <v>53</v>
      </c>
      <c r="AD143" s="685">
        <v>5244.25</v>
      </c>
      <c r="AE143" s="260"/>
      <c r="AF143" s="685"/>
      <c r="AG143" s="1181"/>
      <c r="AH143" s="4038">
        <v>46023.596006944441</v>
      </c>
      <c r="AI143" s="3899" t="s">
        <v>53</v>
      </c>
      <c r="AJ143" s="4038">
        <v>46387.596099537041</v>
      </c>
      <c r="AK143" s="3899" t="s">
        <v>53</v>
      </c>
      <c r="AL143" s="260"/>
      <c r="AM143" s="4056" t="s">
        <v>618</v>
      </c>
      <c r="AN143" s="1566" t="e">
        <f ca="1">STRCHECKDATE(V144:AL144)</f>
        <v>#NAME?</v>
      </c>
      <c r="AO143" s="1548"/>
      <c r="AP143" s="1548" t="str">
        <f t="shared" si="4"/>
        <v>без дифференциации</v>
      </c>
      <c r="AQ143" s="1548"/>
      <c r="AR143" s="1548"/>
      <c r="AS143" s="1559">
        <v>0</v>
      </c>
    </row>
    <row r="144" spans="1:45" s="1745" customFormat="1" ht="0.75" customHeight="1">
      <c r="A144" s="1287"/>
      <c r="B144" s="1287"/>
      <c r="C144" s="1287"/>
      <c r="D144" s="1287"/>
      <c r="E144" s="4034"/>
      <c r="F144" s="4034" t="s">
        <v>80</v>
      </c>
      <c r="G144" s="4034"/>
      <c r="H144" s="4034"/>
      <c r="I144" s="4036"/>
      <c r="J144" s="4036"/>
      <c r="K144" s="4035"/>
      <c r="L144" s="1293"/>
      <c r="M144" s="1290"/>
      <c r="N144" s="1290"/>
      <c r="O144" s="1290"/>
      <c r="P144" s="4037"/>
      <c r="Q144" s="4037"/>
      <c r="R144" s="291"/>
      <c r="S144" s="1978"/>
      <c r="T144" s="235"/>
      <c r="U144" s="235"/>
      <c r="V144" s="260"/>
      <c r="W144" s="260"/>
      <c r="X144" s="260"/>
      <c r="Y144" s="263" t="str">
        <f>Z143&amp;"-"&amp;AB143</f>
        <v>-</v>
      </c>
      <c r="Z144" s="4039"/>
      <c r="AA144" s="3899"/>
      <c r="AB144" s="4039"/>
      <c r="AC144" s="3899"/>
      <c r="AD144" s="260"/>
      <c r="AE144" s="260"/>
      <c r="AF144" s="260"/>
      <c r="AG144" s="263" t="str">
        <f>AH143&amp;"-"&amp;AJ143</f>
        <v>46023,5960069444-46387,596099537</v>
      </c>
      <c r="AH144" s="4039"/>
      <c r="AI144" s="3899"/>
      <c r="AJ144" s="4039"/>
      <c r="AK144" s="3899"/>
      <c r="AL144" s="260"/>
      <c r="AM144" s="4057"/>
      <c r="AN144" s="1566"/>
      <c r="AO144" s="1548"/>
      <c r="AP144" s="1548" t="str">
        <f t="shared" si="4"/>
        <v/>
      </c>
      <c r="AQ144" s="1548"/>
      <c r="AR144" s="1548"/>
      <c r="AS144" s="1559">
        <v>0</v>
      </c>
    </row>
    <row r="145" spans="1:45" s="1745" customFormat="1" ht="15" customHeight="1">
      <c r="A145" s="1287"/>
      <c r="B145" s="1287"/>
      <c r="C145" s="1287"/>
      <c r="D145" s="1287"/>
      <c r="E145" s="4034"/>
      <c r="F145" s="4034" t="s">
        <v>80</v>
      </c>
      <c r="G145" s="4034"/>
      <c r="H145" s="4034"/>
      <c r="I145" s="4036"/>
      <c r="J145" s="4035"/>
      <c r="K145" s="1287"/>
      <c r="L145" s="1293"/>
      <c r="M145" s="1290"/>
      <c r="N145" s="1290"/>
      <c r="O145" s="1672"/>
      <c r="P145" s="4037"/>
      <c r="Q145" s="4037"/>
      <c r="R145" s="290"/>
      <c r="S145" s="2549"/>
      <c r="T145" s="2550" t="s">
        <v>619</v>
      </c>
      <c r="U145" s="2551"/>
      <c r="V145" s="2552"/>
      <c r="W145" s="2553"/>
      <c r="X145" s="2554"/>
      <c r="Y145" s="2555"/>
      <c r="Z145" s="2556"/>
      <c r="AA145" s="2557"/>
      <c r="AB145" s="2558"/>
      <c r="AC145" s="2559"/>
      <c r="AD145" s="2560"/>
      <c r="AE145" s="2561"/>
      <c r="AF145" s="2562"/>
      <c r="AG145" s="2563"/>
      <c r="AH145" s="2564"/>
      <c r="AI145" s="2565"/>
      <c r="AJ145" s="2566"/>
      <c r="AK145" s="2567"/>
      <c r="AL145" s="2568"/>
      <c r="AM145" s="4058"/>
      <c r="AN145" s="1566"/>
      <c r="AO145" s="1548"/>
      <c r="AP145" s="1548" t="str">
        <f t="shared" si="4"/>
        <v>Добавить вид теплоносителя (параметры теплоносителя)</v>
      </c>
      <c r="AQ145" s="1548"/>
      <c r="AR145" s="1548"/>
      <c r="AS145" s="1559">
        <v>0</v>
      </c>
    </row>
    <row r="146" spans="1:45" s="1745" customFormat="1" ht="15" customHeight="1">
      <c r="A146" s="1287"/>
      <c r="B146" s="1287"/>
      <c r="C146" s="1287"/>
      <c r="D146" s="1287"/>
      <c r="E146" s="4034"/>
      <c r="F146" s="4034" t="s">
        <v>80</v>
      </c>
      <c r="G146" s="4034"/>
      <c r="H146" s="4034"/>
      <c r="I146" s="4035"/>
      <c r="J146" s="1287"/>
      <c r="K146" s="1287"/>
      <c r="L146" s="1293"/>
      <c r="M146" s="1290"/>
      <c r="N146" s="1672"/>
      <c r="O146" s="1672"/>
      <c r="P146" s="4037"/>
      <c r="Q146" s="1974"/>
      <c r="R146" s="290"/>
      <c r="S146" s="2569"/>
      <c r="T146" s="2570" t="s">
        <v>620</v>
      </c>
      <c r="U146" s="2571"/>
      <c r="V146" s="2572"/>
      <c r="W146" s="2573"/>
      <c r="X146" s="2574"/>
      <c r="Y146" s="2575"/>
      <c r="Z146" s="2576"/>
      <c r="AA146" s="2577"/>
      <c r="AB146" s="2578"/>
      <c r="AC146" s="2579"/>
      <c r="AD146" s="2580"/>
      <c r="AE146" s="2581"/>
      <c r="AF146" s="2582"/>
      <c r="AG146" s="2583"/>
      <c r="AH146" s="2584"/>
      <c r="AI146" s="2585"/>
      <c r="AJ146" s="2586"/>
      <c r="AK146" s="2587"/>
      <c r="AL146" s="2588"/>
      <c r="AM146" s="2589"/>
      <c r="AN146" s="1566"/>
      <c r="AO146" s="1548"/>
      <c r="AP146" s="1548" t="str">
        <f t="shared" si="4"/>
        <v>Добавить группу потребителей</v>
      </c>
      <c r="AQ146" s="1548"/>
      <c r="AR146" s="1548"/>
      <c r="AS146" s="1559">
        <v>0</v>
      </c>
    </row>
    <row r="147" spans="1:45" s="1745" customFormat="1" ht="14.25" customHeight="1">
      <c r="A147" s="1287"/>
      <c r="B147" s="1287"/>
      <c r="C147" s="1287"/>
      <c r="D147" s="1287"/>
      <c r="E147" s="4034"/>
      <c r="F147" s="4034" t="s">
        <v>80</v>
      </c>
      <c r="G147" s="4034"/>
      <c r="H147" s="4033"/>
      <c r="I147" s="1287"/>
      <c r="J147" s="1287"/>
      <c r="K147" s="1287"/>
      <c r="L147" s="1293"/>
      <c r="M147" s="1289"/>
      <c r="N147" s="1289"/>
      <c r="O147" s="1290"/>
      <c r="P147" s="1718"/>
      <c r="Q147" s="309"/>
      <c r="R147" s="289"/>
      <c r="S147" s="2590"/>
      <c r="T147" s="2591" t="s">
        <v>621</v>
      </c>
      <c r="U147" s="2592"/>
      <c r="V147" s="2593"/>
      <c r="W147" s="2594"/>
      <c r="X147" s="2595"/>
      <c r="Y147" s="2596"/>
      <c r="Z147" s="2597"/>
      <c r="AA147" s="2598"/>
      <c r="AB147" s="2599"/>
      <c r="AC147" s="2600"/>
      <c r="AD147" s="2601"/>
      <c r="AE147" s="2602"/>
      <c r="AF147" s="2603"/>
      <c r="AG147" s="2604"/>
      <c r="AH147" s="2605"/>
      <c r="AI147" s="2606"/>
      <c r="AJ147" s="2607"/>
      <c r="AK147" s="2608"/>
      <c r="AL147" s="2609"/>
      <c r="AM147" s="2610"/>
      <c r="AN147" s="1566"/>
      <c r="AO147" s="1548"/>
      <c r="AP147" s="1548" t="str">
        <f t="shared" si="4"/>
        <v>Добавить схему подключения</v>
      </c>
      <c r="AQ147" s="1548"/>
      <c r="AR147" s="1548"/>
      <c r="AS147" s="1559">
        <v>0</v>
      </c>
    </row>
    <row r="148" spans="1:45" s="556" customFormat="1" ht="0.75" customHeight="1">
      <c r="A148" s="1267"/>
      <c r="B148" s="1267"/>
      <c r="C148" s="1267"/>
      <c r="D148" s="1267"/>
      <c r="E148" s="4034"/>
      <c r="F148" s="4034" t="s">
        <v>80</v>
      </c>
      <c r="G148" s="4033"/>
      <c r="H148" s="1267"/>
      <c r="I148" s="1267"/>
      <c r="J148" s="1267"/>
      <c r="K148" s="1267"/>
      <c r="L148" s="1469"/>
      <c r="M148" s="1239"/>
      <c r="N148" s="1239"/>
      <c r="O148" s="1566"/>
      <c r="P148" s="1240"/>
      <c r="Q148" s="1268"/>
      <c r="R148" s="1240"/>
      <c r="S148" s="1242"/>
      <c r="T148" s="1243" t="s">
        <v>235</v>
      </c>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566"/>
      <c r="AO148" s="1548"/>
      <c r="AP148" s="1548" t="str">
        <f t="shared" si="4"/>
        <v>Добавить источник для дифференциации</v>
      </c>
      <c r="AQ148" s="1548"/>
      <c r="AR148" s="1548"/>
      <c r="AS148" s="1566">
        <v>0</v>
      </c>
    </row>
    <row r="149" spans="1:45" s="556" customFormat="1" ht="0.75" customHeight="1">
      <c r="A149" s="1267"/>
      <c r="B149" s="1267"/>
      <c r="C149" s="1267"/>
      <c r="D149" s="1267"/>
      <c r="E149" s="4034"/>
      <c r="F149" s="4033" t="s">
        <v>80</v>
      </c>
      <c r="G149" s="1267"/>
      <c r="H149" s="1267"/>
      <c r="I149" s="1267"/>
      <c r="J149" s="1267"/>
      <c r="K149" s="1267"/>
      <c r="L149" s="1469"/>
      <c r="M149" s="1245"/>
      <c r="N149" s="1245"/>
      <c r="O149" s="1566"/>
      <c r="P149" s="1240"/>
      <c r="Q149" s="1268"/>
      <c r="R149" s="1240"/>
      <c r="S149" s="1246"/>
      <c r="T149" s="1247" t="s">
        <v>236</v>
      </c>
      <c r="U149" s="1248"/>
      <c r="V149" s="1248"/>
      <c r="W149" s="1248"/>
      <c r="X149" s="1248"/>
      <c r="Y149" s="1248"/>
      <c r="Z149" s="1248"/>
      <c r="AA149" s="1248"/>
      <c r="AB149" s="1248"/>
      <c r="AC149" s="1248"/>
      <c r="AD149" s="1248"/>
      <c r="AE149" s="1248"/>
      <c r="AF149" s="1248"/>
      <c r="AG149" s="1248"/>
      <c r="AH149" s="1248"/>
      <c r="AI149" s="1248"/>
      <c r="AJ149" s="1248"/>
      <c r="AK149" s="1248"/>
      <c r="AL149" s="1248"/>
      <c r="AM149" s="1248"/>
      <c r="AN149" s="1566"/>
      <c r="AO149" s="1548"/>
      <c r="AP149" s="1548" t="str">
        <f t="shared" si="4"/>
        <v>Добавить централизованную систему для дифференциации</v>
      </c>
      <c r="AQ149" s="1548"/>
      <c r="AR149" s="1548"/>
      <c r="AS149" s="1566">
        <v>0</v>
      </c>
    </row>
    <row r="150" spans="1:45" s="1745" customFormat="1" ht="21" customHeight="1">
      <c r="A150" s="1287"/>
      <c r="B150" s="1287" t="s">
        <v>269</v>
      </c>
      <c r="C150" s="1287"/>
      <c r="D150" s="1287"/>
      <c r="E150" s="4034"/>
      <c r="F150" s="4033" t="s">
        <v>136</v>
      </c>
      <c r="G150" s="1287"/>
      <c r="H150" s="1287"/>
      <c r="I150" s="1287"/>
      <c r="J150" s="1287"/>
      <c r="K150" s="1287"/>
      <c r="L150" s="1293"/>
      <c r="M150" s="1289"/>
      <c r="N150" s="1289"/>
      <c r="O150" s="1289"/>
      <c r="P150" s="1970"/>
      <c r="Q150" s="286"/>
      <c r="R150" s="287"/>
      <c r="S150" s="1972" t="str">
        <f>INDEX(PT_DIFFERENTIATION_NUM_TER,MATCH(B150,PT_DIFFERENTIATION_TER_ID,0))</f>
        <v>1.9</v>
      </c>
      <c r="T150" s="1446" t="s">
        <v>605</v>
      </c>
      <c r="U150" s="235"/>
      <c r="V150" s="4027"/>
      <c r="W150" s="4028"/>
      <c r="X150" s="4028"/>
      <c r="Y150" s="4028"/>
      <c r="Z150" s="4028"/>
      <c r="AA150" s="4028"/>
      <c r="AB150" s="4028"/>
      <c r="AC150" s="4029"/>
      <c r="AD150" s="4027" t="str">
        <f>INDEX(PT_DIFFERENTIATION_TER,MATCH(B150,PT_DIFFERENTIATION_TER_ID,0))</f>
        <v>Территория 9</v>
      </c>
      <c r="AE150" s="4028"/>
      <c r="AF150" s="4028"/>
      <c r="AG150" s="4028"/>
      <c r="AH150" s="4028"/>
      <c r="AI150" s="4028"/>
      <c r="AJ150" s="4028"/>
      <c r="AK150" s="4028"/>
      <c r="AL150" s="4029"/>
      <c r="AM150" s="1182" t="s">
        <v>606</v>
      </c>
      <c r="AN150" s="1566"/>
      <c r="AO150" s="1548"/>
      <c r="AP150" s="1548" t="str">
        <f t="shared" si="4"/>
        <v>Территория действия тарифа</v>
      </c>
      <c r="AQ150" s="1548"/>
      <c r="AR150" s="1548"/>
      <c r="AS150" s="1559">
        <v>0</v>
      </c>
    </row>
    <row r="151" spans="1:45" s="1745" customFormat="1" ht="23.25" customHeight="1">
      <c r="A151" s="1287"/>
      <c r="B151" s="1287"/>
      <c r="C151" s="1287" t="s">
        <v>270</v>
      </c>
      <c r="D151" s="1287"/>
      <c r="E151" s="4034"/>
      <c r="F151" s="4034" t="s">
        <v>134</v>
      </c>
      <c r="G151" s="4033">
        <v>1</v>
      </c>
      <c r="H151" s="1287"/>
      <c r="I151" s="1287"/>
      <c r="J151" s="1287"/>
      <c r="K151" s="1287"/>
      <c r="L151" s="1293"/>
      <c r="M151" s="1289"/>
      <c r="N151" s="1289"/>
      <c r="O151" s="1289"/>
      <c r="P151" s="288"/>
      <c r="Q151" s="286"/>
      <c r="R151" s="287"/>
      <c r="S151" s="1972" t="str">
        <f>INDEX(PT_DIFFERENTIATION_NUM_CS,MATCH(C151,PT_DIFFERENTIATION_CS_ID,0))</f>
        <v>1.9.1</v>
      </c>
      <c r="T151" s="244" t="s">
        <v>607</v>
      </c>
      <c r="U151" s="235"/>
      <c r="V151" s="4027"/>
      <c r="W151" s="4028"/>
      <c r="X151" s="4028"/>
      <c r="Y151" s="4028"/>
      <c r="Z151" s="4028"/>
      <c r="AA151" s="4028"/>
      <c r="AB151" s="4028"/>
      <c r="AC151" s="4029"/>
      <c r="AD151" s="4027" t="str">
        <f>INDEX(PT_DIFFERENTIATION_CS,MATCH(C151,PT_DIFFERENTIATION_CS_ID,0))</f>
        <v>Ярцевский филиал</v>
      </c>
      <c r="AE151" s="4028"/>
      <c r="AF151" s="4028"/>
      <c r="AG151" s="4028"/>
      <c r="AH151" s="4028"/>
      <c r="AI151" s="4028"/>
      <c r="AJ151" s="4028"/>
      <c r="AK151" s="4028"/>
      <c r="AL151" s="4029"/>
      <c r="AM151" s="1182" t="s">
        <v>608</v>
      </c>
      <c r="AN151" s="1566"/>
      <c r="AO151" s="1548"/>
      <c r="AP151" s="1548" t="str">
        <f t="shared" si="4"/>
        <v xml:space="preserve">Наименование системы теплоснабжения </v>
      </c>
      <c r="AQ151" s="1548"/>
      <c r="AR151" s="1548"/>
      <c r="AS151" s="1559">
        <v>0</v>
      </c>
    </row>
    <row r="152" spans="1:45" s="1745" customFormat="1" ht="21" customHeight="1">
      <c r="A152" s="1287"/>
      <c r="B152" s="1287"/>
      <c r="C152" s="1287"/>
      <c r="D152" s="1287" t="s">
        <v>271</v>
      </c>
      <c r="E152" s="4034"/>
      <c r="F152" s="4034" t="s">
        <v>134</v>
      </c>
      <c r="G152" s="4034"/>
      <c r="H152" s="4033">
        <v>1</v>
      </c>
      <c r="I152" s="1287"/>
      <c r="J152" s="1287"/>
      <c r="K152" s="1287"/>
      <c r="L152" s="1293"/>
      <c r="M152" s="1289"/>
      <c r="N152" s="1289"/>
      <c r="O152" s="1289"/>
      <c r="P152" s="288"/>
      <c r="Q152" s="286"/>
      <c r="R152" s="287"/>
      <c r="S152" s="1972" t="str">
        <f>INDEX(PT_DIFFERENTIATION_NUM_IST_TE,MATCH(D152,PT_DIFFERENTIATION_IST_TE_ID,0))</f>
        <v>1.9.1.1</v>
      </c>
      <c r="T152" s="245" t="s">
        <v>609</v>
      </c>
      <c r="U152" s="235"/>
      <c r="V152" s="4027"/>
      <c r="W152" s="4028"/>
      <c r="X152" s="4028"/>
      <c r="Y152" s="4028"/>
      <c r="Z152" s="4028"/>
      <c r="AA152" s="4028"/>
      <c r="AB152" s="4028"/>
      <c r="AC152" s="4029"/>
      <c r="AD152" s="4027" t="str">
        <f>INDEX(PT_DIFFERENTIATION_IST_TE,MATCH(D152,PT_DIFFERENTIATION_IST_TE_ID,0))</f>
        <v>без дифференциации</v>
      </c>
      <c r="AE152" s="4028"/>
      <c r="AF152" s="4028"/>
      <c r="AG152" s="4028"/>
      <c r="AH152" s="4028"/>
      <c r="AI152" s="4028"/>
      <c r="AJ152" s="4028"/>
      <c r="AK152" s="4028"/>
      <c r="AL152" s="4029"/>
      <c r="AM152" s="1182" t="s">
        <v>610</v>
      </c>
      <c r="AN152" s="1566"/>
      <c r="AO152" s="1548"/>
      <c r="AP152" s="1548" t="str">
        <f t="shared" si="4"/>
        <v xml:space="preserve">Источник тепловой энергии  </v>
      </c>
      <c r="AQ152" s="1548"/>
      <c r="AR152" s="1548"/>
      <c r="AS152" s="1559">
        <v>0</v>
      </c>
    </row>
    <row r="153" spans="1:45" s="1745" customFormat="1" ht="47.25" customHeight="1">
      <c r="A153" s="1287"/>
      <c r="B153" s="1287"/>
      <c r="C153" s="1287"/>
      <c r="D153" s="1287"/>
      <c r="E153" s="4034"/>
      <c r="F153" s="4034" t="s">
        <v>134</v>
      </c>
      <c r="G153" s="4034"/>
      <c r="H153" s="4034"/>
      <c r="I153" s="4035" t="str">
        <f>S152&amp;".1"</f>
        <v>1.9.1.1.1</v>
      </c>
      <c r="J153" s="1287"/>
      <c r="K153" s="1287"/>
      <c r="L153" s="1293" t="s">
        <v>611</v>
      </c>
      <c r="M153" s="1290"/>
      <c r="N153" s="1672"/>
      <c r="O153" s="1672"/>
      <c r="P153" s="4037">
        <v>1</v>
      </c>
      <c r="Q153" s="1974"/>
      <c r="R153" s="290"/>
      <c r="S153" s="1972" t="str">
        <f>$I153</f>
        <v>1.9.1.1.1</v>
      </c>
      <c r="T153" s="220" t="s">
        <v>612</v>
      </c>
      <c r="U153" s="235"/>
      <c r="V153" s="4021"/>
      <c r="W153" s="4022"/>
      <c r="X153" s="4022"/>
      <c r="Y153" s="4022"/>
      <c r="Z153" s="4022"/>
      <c r="AA153" s="4022"/>
      <c r="AB153" s="4022"/>
      <c r="AC153" s="4023"/>
      <c r="AD153" s="4021" t="s">
        <v>654</v>
      </c>
      <c r="AE153" s="4022"/>
      <c r="AF153" s="4022"/>
      <c r="AG153" s="4022"/>
      <c r="AH153" s="4022"/>
      <c r="AI153" s="4022"/>
      <c r="AJ153" s="4022"/>
      <c r="AK153" s="4022"/>
      <c r="AL153" s="4023"/>
      <c r="AM153" s="1182" t="s">
        <v>613</v>
      </c>
      <c r="AN153" s="1566"/>
      <c r="AO153" s="1548"/>
      <c r="AP153" s="1548" t="str">
        <f t="shared" si="4"/>
        <v>Схема подключения теплопотребляющей установки к коллектору источника тепловой энергии</v>
      </c>
      <c r="AQ153" s="1548"/>
      <c r="AR153" s="1548"/>
      <c r="AS153" s="1559">
        <v>0</v>
      </c>
    </row>
    <row r="154" spans="1:45" s="1745" customFormat="1" ht="21" customHeight="1">
      <c r="A154" s="1287"/>
      <c r="B154" s="1287"/>
      <c r="C154" s="1287"/>
      <c r="D154" s="1287"/>
      <c r="E154" s="4034"/>
      <c r="F154" s="4034" t="s">
        <v>134</v>
      </c>
      <c r="G154" s="4034"/>
      <c r="H154" s="4034"/>
      <c r="I154" s="4036"/>
      <c r="J154" s="4035" t="str">
        <f>I153&amp;".1"</f>
        <v>1.9.1.1.1.1</v>
      </c>
      <c r="K154" s="1287"/>
      <c r="L154" s="1293" t="s">
        <v>614</v>
      </c>
      <c r="M154" s="1290"/>
      <c r="N154" s="1290"/>
      <c r="O154" s="1672"/>
      <c r="P154" s="4037"/>
      <c r="Q154" s="4037">
        <v>1</v>
      </c>
      <c r="R154" s="291"/>
      <c r="S154" s="1972" t="str">
        <f>$J154</f>
        <v>1.9.1.1.1.1</v>
      </c>
      <c r="T154" s="221" t="s">
        <v>615</v>
      </c>
      <c r="U154" s="235"/>
      <c r="V154" s="4021"/>
      <c r="W154" s="4022"/>
      <c r="X154" s="4022"/>
      <c r="Y154" s="4022"/>
      <c r="Z154" s="4022"/>
      <c r="AA154" s="4022"/>
      <c r="AB154" s="4022"/>
      <c r="AC154" s="4023"/>
      <c r="AD154" s="4021" t="s">
        <v>654</v>
      </c>
      <c r="AE154" s="4022"/>
      <c r="AF154" s="4022"/>
      <c r="AG154" s="4022"/>
      <c r="AH154" s="4022"/>
      <c r="AI154" s="4022"/>
      <c r="AJ154" s="4022"/>
      <c r="AK154" s="4022"/>
      <c r="AL154" s="4023"/>
      <c r="AM154" s="1182" t="s">
        <v>616</v>
      </c>
      <c r="AN154" s="1566"/>
      <c r="AO154" s="1548"/>
      <c r="AP154" s="1548" t="str">
        <f t="shared" si="4"/>
        <v>Группа потребителей</v>
      </c>
      <c r="AQ154" s="1548"/>
      <c r="AR154" s="1548"/>
      <c r="AS154" s="1559">
        <v>0</v>
      </c>
    </row>
    <row r="155" spans="1:45" s="1745" customFormat="1" ht="21" customHeight="1">
      <c r="A155" s="1287"/>
      <c r="B155" s="1287"/>
      <c r="C155" s="1287"/>
      <c r="D155" s="1287"/>
      <c r="E155" s="4034"/>
      <c r="F155" s="4034" t="s">
        <v>134</v>
      </c>
      <c r="G155" s="4034"/>
      <c r="H155" s="4034"/>
      <c r="I155" s="4036"/>
      <c r="J155" s="4036"/>
      <c r="K155" s="4035" t="str">
        <f>J154&amp;".1"</f>
        <v>1.9.1.1.1.1.1</v>
      </c>
      <c r="L155" s="1293" t="s">
        <v>617</v>
      </c>
      <c r="M155" s="1290"/>
      <c r="N155" s="1290"/>
      <c r="O155" s="1290"/>
      <c r="P155" s="4037"/>
      <c r="Q155" s="4037"/>
      <c r="R155" s="291">
        <v>1</v>
      </c>
      <c r="S155" s="1972" t="str">
        <f>$K155</f>
        <v>1.9.1.1.1.1.1</v>
      </c>
      <c r="T155" s="1271" t="s">
        <v>654</v>
      </c>
      <c r="U155" s="235"/>
      <c r="V155" s="685"/>
      <c r="W155" s="260"/>
      <c r="X155" s="685"/>
      <c r="Y155" s="1181"/>
      <c r="Z155" s="4038"/>
      <c r="AA155" s="3899" t="s">
        <v>53</v>
      </c>
      <c r="AB155" s="4038"/>
      <c r="AC155" s="3899" t="s">
        <v>53</v>
      </c>
      <c r="AD155" s="685">
        <v>3814.49</v>
      </c>
      <c r="AE155" s="260"/>
      <c r="AF155" s="685"/>
      <c r="AG155" s="1181"/>
      <c r="AH155" s="4038">
        <v>46023.59578703704</v>
      </c>
      <c r="AI155" s="3899" t="s">
        <v>53</v>
      </c>
      <c r="AJ155" s="4038">
        <v>46387.595879629633</v>
      </c>
      <c r="AK155" s="3899" t="s">
        <v>53</v>
      </c>
      <c r="AL155" s="260"/>
      <c r="AM155" s="4056" t="s">
        <v>618</v>
      </c>
      <c r="AN155" s="1566" t="e">
        <f ca="1">STRCHECKDATE(V156:AL156)</f>
        <v>#NAME?</v>
      </c>
      <c r="AO155" s="1548"/>
      <c r="AP155" s="1548" t="str">
        <f t="shared" si="4"/>
        <v>без дифференциации</v>
      </c>
      <c r="AQ155" s="1548"/>
      <c r="AR155" s="1548"/>
      <c r="AS155" s="1559">
        <v>0</v>
      </c>
    </row>
    <row r="156" spans="1:45" s="1745" customFormat="1" ht="0.75" customHeight="1">
      <c r="A156" s="1287"/>
      <c r="B156" s="1287"/>
      <c r="C156" s="1287"/>
      <c r="D156" s="1287"/>
      <c r="E156" s="4034"/>
      <c r="F156" s="4034" t="s">
        <v>134</v>
      </c>
      <c r="G156" s="4034"/>
      <c r="H156" s="4034"/>
      <c r="I156" s="4036"/>
      <c r="J156" s="4036"/>
      <c r="K156" s="4035"/>
      <c r="L156" s="1293"/>
      <c r="M156" s="1290"/>
      <c r="N156" s="1290"/>
      <c r="O156" s="1290"/>
      <c r="P156" s="4037"/>
      <c r="Q156" s="4037"/>
      <c r="R156" s="291"/>
      <c r="S156" s="1978"/>
      <c r="T156" s="235"/>
      <c r="U156" s="235"/>
      <c r="V156" s="260"/>
      <c r="W156" s="260"/>
      <c r="X156" s="260"/>
      <c r="Y156" s="263" t="str">
        <f>Z155&amp;"-"&amp;AB155</f>
        <v>-</v>
      </c>
      <c r="Z156" s="4039"/>
      <c r="AA156" s="3899"/>
      <c r="AB156" s="4039"/>
      <c r="AC156" s="3899"/>
      <c r="AD156" s="260"/>
      <c r="AE156" s="260"/>
      <c r="AF156" s="260"/>
      <c r="AG156" s="263" t="str">
        <f>AH155&amp;"-"&amp;AJ155</f>
        <v>46023,595787037-46387,5958796296</v>
      </c>
      <c r="AH156" s="4039"/>
      <c r="AI156" s="3899"/>
      <c r="AJ156" s="4039"/>
      <c r="AK156" s="3899"/>
      <c r="AL156" s="260"/>
      <c r="AM156" s="4057"/>
      <c r="AN156" s="1566"/>
      <c r="AO156" s="1548"/>
      <c r="AP156" s="1548" t="str">
        <f t="shared" si="4"/>
        <v/>
      </c>
      <c r="AQ156" s="1548"/>
      <c r="AR156" s="1548"/>
      <c r="AS156" s="1559">
        <v>0</v>
      </c>
    </row>
    <row r="157" spans="1:45" s="1745" customFormat="1" ht="15" customHeight="1">
      <c r="A157" s="1287"/>
      <c r="B157" s="1287"/>
      <c r="C157" s="1287"/>
      <c r="D157" s="1287"/>
      <c r="E157" s="4034"/>
      <c r="F157" s="4034" t="s">
        <v>134</v>
      </c>
      <c r="G157" s="4034"/>
      <c r="H157" s="4034"/>
      <c r="I157" s="4036"/>
      <c r="J157" s="4035"/>
      <c r="K157" s="1287"/>
      <c r="L157" s="1293"/>
      <c r="M157" s="1290"/>
      <c r="N157" s="1290"/>
      <c r="O157" s="1672"/>
      <c r="P157" s="4037"/>
      <c r="Q157" s="4037"/>
      <c r="R157" s="290"/>
      <c r="S157" s="2611"/>
      <c r="T157" s="2612" t="s">
        <v>619</v>
      </c>
      <c r="U157" s="2613"/>
      <c r="V157" s="2614"/>
      <c r="W157" s="2615"/>
      <c r="X157" s="2616"/>
      <c r="Y157" s="2617"/>
      <c r="Z157" s="2618"/>
      <c r="AA157" s="2619"/>
      <c r="AB157" s="2620"/>
      <c r="AC157" s="2621"/>
      <c r="AD157" s="2622"/>
      <c r="AE157" s="2623"/>
      <c r="AF157" s="2624"/>
      <c r="AG157" s="2625"/>
      <c r="AH157" s="2626"/>
      <c r="AI157" s="2627"/>
      <c r="AJ157" s="2628"/>
      <c r="AK157" s="2629"/>
      <c r="AL157" s="2630"/>
      <c r="AM157" s="4058"/>
      <c r="AN157" s="1566"/>
      <c r="AO157" s="1548"/>
      <c r="AP157" s="1548" t="str">
        <f t="shared" si="4"/>
        <v>Добавить вид теплоносителя (параметры теплоносителя)</v>
      </c>
      <c r="AQ157" s="1548"/>
      <c r="AR157" s="1548"/>
      <c r="AS157" s="1559">
        <v>0</v>
      </c>
    </row>
    <row r="158" spans="1:45" s="1745" customFormat="1" ht="15" customHeight="1">
      <c r="A158" s="1287"/>
      <c r="B158" s="1287"/>
      <c r="C158" s="1287"/>
      <c r="D158" s="1287"/>
      <c r="E158" s="4034"/>
      <c r="F158" s="4034" t="s">
        <v>134</v>
      </c>
      <c r="G158" s="4034"/>
      <c r="H158" s="4034"/>
      <c r="I158" s="4035"/>
      <c r="J158" s="1287"/>
      <c r="K158" s="1287"/>
      <c r="L158" s="1293"/>
      <c r="M158" s="1290"/>
      <c r="N158" s="1672"/>
      <c r="O158" s="1672"/>
      <c r="P158" s="4037"/>
      <c r="Q158" s="1974"/>
      <c r="R158" s="290"/>
      <c r="S158" s="2631"/>
      <c r="T158" s="2632" t="s">
        <v>620</v>
      </c>
      <c r="U158" s="2633"/>
      <c r="V158" s="2634"/>
      <c r="W158" s="2635"/>
      <c r="X158" s="2636"/>
      <c r="Y158" s="2637"/>
      <c r="Z158" s="2638"/>
      <c r="AA158" s="2639"/>
      <c r="AB158" s="2640"/>
      <c r="AC158" s="2641"/>
      <c r="AD158" s="2642"/>
      <c r="AE158" s="2643"/>
      <c r="AF158" s="2644"/>
      <c r="AG158" s="2645"/>
      <c r="AH158" s="2646"/>
      <c r="AI158" s="2647"/>
      <c r="AJ158" s="2648"/>
      <c r="AK158" s="2649"/>
      <c r="AL158" s="2650"/>
      <c r="AM158" s="2651"/>
      <c r="AN158" s="1566"/>
      <c r="AO158" s="1548"/>
      <c r="AP158" s="1548" t="str">
        <f t="shared" si="4"/>
        <v>Добавить группу потребителей</v>
      </c>
      <c r="AQ158" s="1548"/>
      <c r="AR158" s="1548"/>
      <c r="AS158" s="1559">
        <v>0</v>
      </c>
    </row>
    <row r="159" spans="1:45" s="1745" customFormat="1" ht="14.25" customHeight="1">
      <c r="A159" s="1287"/>
      <c r="B159" s="1287"/>
      <c r="C159" s="1287"/>
      <c r="D159" s="1287"/>
      <c r="E159" s="4034"/>
      <c r="F159" s="4034" t="s">
        <v>134</v>
      </c>
      <c r="G159" s="4034"/>
      <c r="H159" s="4033"/>
      <c r="I159" s="1287"/>
      <c r="J159" s="1287"/>
      <c r="K159" s="1287"/>
      <c r="L159" s="1293"/>
      <c r="M159" s="1289"/>
      <c r="N159" s="1289"/>
      <c r="O159" s="1290"/>
      <c r="P159" s="1718"/>
      <c r="Q159" s="309"/>
      <c r="R159" s="289"/>
      <c r="S159" s="2652"/>
      <c r="T159" s="2653" t="s">
        <v>621</v>
      </c>
      <c r="U159" s="2654"/>
      <c r="V159" s="2655"/>
      <c r="W159" s="2656"/>
      <c r="X159" s="2657"/>
      <c r="Y159" s="2658"/>
      <c r="Z159" s="2659"/>
      <c r="AA159" s="2660"/>
      <c r="AB159" s="2661"/>
      <c r="AC159" s="2662"/>
      <c r="AD159" s="2663"/>
      <c r="AE159" s="2664"/>
      <c r="AF159" s="2665"/>
      <c r="AG159" s="2666"/>
      <c r="AH159" s="2667"/>
      <c r="AI159" s="2668"/>
      <c r="AJ159" s="2669"/>
      <c r="AK159" s="2670"/>
      <c r="AL159" s="2671"/>
      <c r="AM159" s="2672"/>
      <c r="AN159" s="1566"/>
      <c r="AO159" s="1548"/>
      <c r="AP159" s="1548" t="str">
        <f t="shared" si="4"/>
        <v>Добавить схему подключения</v>
      </c>
      <c r="AQ159" s="1548"/>
      <c r="AR159" s="1548"/>
      <c r="AS159" s="1559">
        <v>0</v>
      </c>
    </row>
    <row r="160" spans="1:45" s="556" customFormat="1" ht="0.75" customHeight="1">
      <c r="A160" s="1267"/>
      <c r="B160" s="1267"/>
      <c r="C160" s="1267"/>
      <c r="D160" s="1267"/>
      <c r="E160" s="4034"/>
      <c r="F160" s="4034" t="s">
        <v>134</v>
      </c>
      <c r="G160" s="4033"/>
      <c r="H160" s="1267"/>
      <c r="I160" s="1267"/>
      <c r="J160" s="1267"/>
      <c r="K160" s="1267"/>
      <c r="L160" s="1469"/>
      <c r="M160" s="1239"/>
      <c r="N160" s="1239"/>
      <c r="O160" s="1566"/>
      <c r="P160" s="1240"/>
      <c r="Q160" s="1268"/>
      <c r="R160" s="1240"/>
      <c r="S160" s="1242"/>
      <c r="T160" s="1243" t="s">
        <v>235</v>
      </c>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566"/>
      <c r="AO160" s="1548"/>
      <c r="AP160" s="1548" t="str">
        <f t="shared" si="4"/>
        <v>Добавить источник для дифференциации</v>
      </c>
      <c r="AQ160" s="1548"/>
      <c r="AR160" s="1548"/>
      <c r="AS160" s="1566">
        <v>0</v>
      </c>
    </row>
    <row r="161" spans="1:45" s="556" customFormat="1" ht="0.75" customHeight="1">
      <c r="A161" s="1267"/>
      <c r="B161" s="1267"/>
      <c r="C161" s="1267"/>
      <c r="D161" s="1267"/>
      <c r="E161" s="4034"/>
      <c r="F161" s="4033" t="s">
        <v>134</v>
      </c>
      <c r="G161" s="1267"/>
      <c r="H161" s="1267"/>
      <c r="I161" s="1267"/>
      <c r="J161" s="1267"/>
      <c r="K161" s="1267"/>
      <c r="L161" s="1469"/>
      <c r="M161" s="1245"/>
      <c r="N161" s="1245"/>
      <c r="O161" s="1566"/>
      <c r="P161" s="1240"/>
      <c r="Q161" s="1268"/>
      <c r="R161" s="1240"/>
      <c r="S161" s="1246"/>
      <c r="T161" s="1247" t="s">
        <v>236</v>
      </c>
      <c r="U161" s="1248"/>
      <c r="V161" s="1248"/>
      <c r="W161" s="1248"/>
      <c r="X161" s="1248"/>
      <c r="Y161" s="1248"/>
      <c r="Z161" s="1248"/>
      <c r="AA161" s="1248"/>
      <c r="AB161" s="1248"/>
      <c r="AC161" s="1248"/>
      <c r="AD161" s="1248"/>
      <c r="AE161" s="1248"/>
      <c r="AF161" s="1248"/>
      <c r="AG161" s="1248"/>
      <c r="AH161" s="1248"/>
      <c r="AI161" s="1248"/>
      <c r="AJ161" s="1248"/>
      <c r="AK161" s="1248"/>
      <c r="AL161" s="1248"/>
      <c r="AM161" s="1248"/>
      <c r="AN161" s="1566"/>
      <c r="AO161" s="1548"/>
      <c r="AP161" s="1548" t="str">
        <f t="shared" si="4"/>
        <v>Добавить централизованную систему для дифференциации</v>
      </c>
      <c r="AQ161" s="1548"/>
      <c r="AR161" s="1548"/>
      <c r="AS161" s="1566">
        <v>0</v>
      </c>
    </row>
    <row r="162" spans="1:45" s="1745" customFormat="1" ht="21" customHeight="1">
      <c r="A162" s="1287"/>
      <c r="B162" s="1287" t="s">
        <v>273</v>
      </c>
      <c r="C162" s="1287"/>
      <c r="D162" s="1287"/>
      <c r="E162" s="4034"/>
      <c r="F162" s="4033" t="s">
        <v>141</v>
      </c>
      <c r="G162" s="1287"/>
      <c r="H162" s="1287"/>
      <c r="I162" s="1287"/>
      <c r="J162" s="1287"/>
      <c r="K162" s="1287"/>
      <c r="L162" s="1293"/>
      <c r="M162" s="1289"/>
      <c r="N162" s="1289"/>
      <c r="O162" s="1289"/>
      <c r="P162" s="1970"/>
      <c r="Q162" s="286"/>
      <c r="R162" s="287"/>
      <c r="S162" s="1972" t="str">
        <f>INDEX(PT_DIFFERENTIATION_NUM_TER,MATCH(B162,PT_DIFFERENTIATION_TER_ID,0))</f>
        <v>1.10</v>
      </c>
      <c r="T162" s="1446" t="s">
        <v>605</v>
      </c>
      <c r="U162" s="235"/>
      <c r="V162" s="4027"/>
      <c r="W162" s="4028"/>
      <c r="X162" s="4028"/>
      <c r="Y162" s="4028"/>
      <c r="Z162" s="4028"/>
      <c r="AA162" s="4028"/>
      <c r="AB162" s="4028"/>
      <c r="AC162" s="4029"/>
      <c r="AD162" s="4027" t="str">
        <f>INDEX(PT_DIFFERENTIATION_TER,MATCH(B162,PT_DIFFERENTIATION_TER_ID,0))</f>
        <v>Территория 10</v>
      </c>
      <c r="AE162" s="4028"/>
      <c r="AF162" s="4028"/>
      <c r="AG162" s="4028"/>
      <c r="AH162" s="4028"/>
      <c r="AI162" s="4028"/>
      <c r="AJ162" s="4028"/>
      <c r="AK162" s="4028"/>
      <c r="AL162" s="4029"/>
      <c r="AM162" s="1182" t="s">
        <v>606</v>
      </c>
      <c r="AN162" s="1566"/>
      <c r="AO162" s="1548"/>
      <c r="AP162" s="1548" t="str">
        <f t="shared" si="4"/>
        <v>Территория действия тарифа</v>
      </c>
      <c r="AQ162" s="1548"/>
      <c r="AR162" s="1548"/>
      <c r="AS162" s="1559">
        <v>0</v>
      </c>
    </row>
    <row r="163" spans="1:45" s="1745" customFormat="1" ht="23.25" customHeight="1">
      <c r="A163" s="1287"/>
      <c r="B163" s="1287"/>
      <c r="C163" s="1287" t="s">
        <v>274</v>
      </c>
      <c r="D163" s="1287"/>
      <c r="E163" s="4034"/>
      <c r="F163" s="4034" t="s">
        <v>136</v>
      </c>
      <c r="G163" s="4033">
        <v>1</v>
      </c>
      <c r="H163" s="1287"/>
      <c r="I163" s="1287"/>
      <c r="J163" s="1287"/>
      <c r="K163" s="1287"/>
      <c r="L163" s="1293"/>
      <c r="M163" s="1289"/>
      <c r="N163" s="1289"/>
      <c r="O163" s="1289"/>
      <c r="P163" s="288"/>
      <c r="Q163" s="286"/>
      <c r="R163" s="287"/>
      <c r="S163" s="1972" t="str">
        <f>INDEX(PT_DIFFERENTIATION_NUM_CS,MATCH(C163,PT_DIFFERENTIATION_CS_ID,0))</f>
        <v>1.10.1</v>
      </c>
      <c r="T163" s="244" t="s">
        <v>607</v>
      </c>
      <c r="U163" s="235"/>
      <c r="V163" s="4027"/>
      <c r="W163" s="4028"/>
      <c r="X163" s="4028"/>
      <c r="Y163" s="4028"/>
      <c r="Z163" s="4028"/>
      <c r="AA163" s="4028"/>
      <c r="AB163" s="4028"/>
      <c r="AC163" s="4029"/>
      <c r="AD163" s="4027" t="str">
        <f>INDEX(PT_DIFFERENTIATION_CS,MATCH(C163,PT_DIFFERENTIATION_CS_ID,0))</f>
        <v>п. Красный</v>
      </c>
      <c r="AE163" s="4028"/>
      <c r="AF163" s="4028"/>
      <c r="AG163" s="4028"/>
      <c r="AH163" s="4028"/>
      <c r="AI163" s="4028"/>
      <c r="AJ163" s="4028"/>
      <c r="AK163" s="4028"/>
      <c r="AL163" s="4029"/>
      <c r="AM163" s="1182" t="s">
        <v>608</v>
      </c>
      <c r="AN163" s="1566"/>
      <c r="AO163" s="1548"/>
      <c r="AP163" s="1548" t="str">
        <f t="shared" si="4"/>
        <v xml:space="preserve">Наименование системы теплоснабжения </v>
      </c>
      <c r="AQ163" s="1548"/>
      <c r="AR163" s="1548"/>
      <c r="AS163" s="1559">
        <v>0</v>
      </c>
    </row>
    <row r="164" spans="1:45" s="1745" customFormat="1" ht="21" customHeight="1">
      <c r="A164" s="1287"/>
      <c r="B164" s="1287"/>
      <c r="C164" s="1287"/>
      <c r="D164" s="1287" t="s">
        <v>275</v>
      </c>
      <c r="E164" s="4034"/>
      <c r="F164" s="4034" t="s">
        <v>136</v>
      </c>
      <c r="G164" s="4034"/>
      <c r="H164" s="4033">
        <v>1</v>
      </c>
      <c r="I164" s="1287"/>
      <c r="J164" s="1287"/>
      <c r="K164" s="1287"/>
      <c r="L164" s="1293"/>
      <c r="M164" s="1289"/>
      <c r="N164" s="1289"/>
      <c r="O164" s="1289"/>
      <c r="P164" s="288"/>
      <c r="Q164" s="286"/>
      <c r="R164" s="287"/>
      <c r="S164" s="1972" t="str">
        <f>INDEX(PT_DIFFERENTIATION_NUM_IST_TE,MATCH(D164,PT_DIFFERENTIATION_IST_TE_ID,0))</f>
        <v>1.10.1.1</v>
      </c>
      <c r="T164" s="245" t="s">
        <v>609</v>
      </c>
      <c r="U164" s="235"/>
      <c r="V164" s="4027"/>
      <c r="W164" s="4028"/>
      <c r="X164" s="4028"/>
      <c r="Y164" s="4028"/>
      <c r="Z164" s="4028"/>
      <c r="AA164" s="4028"/>
      <c r="AB164" s="4028"/>
      <c r="AC164" s="4029"/>
      <c r="AD164" s="4027" t="str">
        <f>INDEX(PT_DIFFERENTIATION_IST_TE,MATCH(D164,PT_DIFFERENTIATION_IST_TE_ID,0))</f>
        <v>без дифференциации</v>
      </c>
      <c r="AE164" s="4028"/>
      <c r="AF164" s="4028"/>
      <c r="AG164" s="4028"/>
      <c r="AH164" s="4028"/>
      <c r="AI164" s="4028"/>
      <c r="AJ164" s="4028"/>
      <c r="AK164" s="4028"/>
      <c r="AL164" s="4029"/>
      <c r="AM164" s="1182" t="s">
        <v>610</v>
      </c>
      <c r="AN164" s="1566"/>
      <c r="AO164" s="1548"/>
      <c r="AP164" s="1548" t="str">
        <f t="shared" si="4"/>
        <v xml:space="preserve">Источник тепловой энергии  </v>
      </c>
      <c r="AQ164" s="1548"/>
      <c r="AR164" s="1548"/>
      <c r="AS164" s="1559">
        <v>0</v>
      </c>
    </row>
    <row r="165" spans="1:45" s="1745" customFormat="1" ht="47.25" customHeight="1">
      <c r="A165" s="1287"/>
      <c r="B165" s="1287"/>
      <c r="C165" s="1287"/>
      <c r="D165" s="1287"/>
      <c r="E165" s="4034"/>
      <c r="F165" s="4034" t="s">
        <v>136</v>
      </c>
      <c r="G165" s="4034"/>
      <c r="H165" s="4034"/>
      <c r="I165" s="4035" t="str">
        <f>S164&amp;".1"</f>
        <v>1.10.1.1.1</v>
      </c>
      <c r="J165" s="1287"/>
      <c r="K165" s="1287"/>
      <c r="L165" s="1293" t="s">
        <v>611</v>
      </c>
      <c r="M165" s="1290"/>
      <c r="N165" s="1672"/>
      <c r="O165" s="1672"/>
      <c r="P165" s="4037">
        <v>1</v>
      </c>
      <c r="Q165" s="1974"/>
      <c r="R165" s="290"/>
      <c r="S165" s="1972" t="str">
        <f>$I165</f>
        <v>1.10.1.1.1</v>
      </c>
      <c r="T165" s="220" t="s">
        <v>612</v>
      </c>
      <c r="U165" s="235"/>
      <c r="V165" s="4021"/>
      <c r="W165" s="4022"/>
      <c r="X165" s="4022"/>
      <c r="Y165" s="4022"/>
      <c r="Z165" s="4022"/>
      <c r="AA165" s="4022"/>
      <c r="AB165" s="4022"/>
      <c r="AC165" s="4023"/>
      <c r="AD165" s="4021" t="s">
        <v>654</v>
      </c>
      <c r="AE165" s="4022"/>
      <c r="AF165" s="4022"/>
      <c r="AG165" s="4022"/>
      <c r="AH165" s="4022"/>
      <c r="AI165" s="4022"/>
      <c r="AJ165" s="4022"/>
      <c r="AK165" s="4022"/>
      <c r="AL165" s="4023"/>
      <c r="AM165" s="1182" t="s">
        <v>613</v>
      </c>
      <c r="AN165" s="1566"/>
      <c r="AO165" s="1548"/>
      <c r="AP165" s="1548" t="str">
        <f t="shared" si="4"/>
        <v>Схема подключения теплопотребляющей установки к коллектору источника тепловой энергии</v>
      </c>
      <c r="AQ165" s="1548"/>
      <c r="AR165" s="1548"/>
      <c r="AS165" s="1559">
        <v>0</v>
      </c>
    </row>
    <row r="166" spans="1:45" s="1745" customFormat="1" ht="21" customHeight="1">
      <c r="A166" s="1287"/>
      <c r="B166" s="1287"/>
      <c r="C166" s="1287"/>
      <c r="D166" s="1287"/>
      <c r="E166" s="4034"/>
      <c r="F166" s="4034" t="s">
        <v>136</v>
      </c>
      <c r="G166" s="4034"/>
      <c r="H166" s="4034"/>
      <c r="I166" s="4036"/>
      <c r="J166" s="4035" t="str">
        <f>I165&amp;".1"</f>
        <v>1.10.1.1.1.1</v>
      </c>
      <c r="K166" s="1287"/>
      <c r="L166" s="1293" t="s">
        <v>614</v>
      </c>
      <c r="M166" s="1290"/>
      <c r="N166" s="1290"/>
      <c r="O166" s="1672"/>
      <c r="P166" s="4037"/>
      <c r="Q166" s="4037">
        <v>1</v>
      </c>
      <c r="R166" s="291"/>
      <c r="S166" s="1972" t="str">
        <f>$J166</f>
        <v>1.10.1.1.1.1</v>
      </c>
      <c r="T166" s="221" t="s">
        <v>615</v>
      </c>
      <c r="U166" s="235"/>
      <c r="V166" s="4021"/>
      <c r="W166" s="4022"/>
      <c r="X166" s="4022"/>
      <c r="Y166" s="4022"/>
      <c r="Z166" s="4022"/>
      <c r="AA166" s="4022"/>
      <c r="AB166" s="4022"/>
      <c r="AC166" s="4023"/>
      <c r="AD166" s="4021" t="s">
        <v>654</v>
      </c>
      <c r="AE166" s="4022"/>
      <c r="AF166" s="4022"/>
      <c r="AG166" s="4022"/>
      <c r="AH166" s="4022"/>
      <c r="AI166" s="4022"/>
      <c r="AJ166" s="4022"/>
      <c r="AK166" s="4022"/>
      <c r="AL166" s="4023"/>
      <c r="AM166" s="1182" t="s">
        <v>616</v>
      </c>
      <c r="AN166" s="1566"/>
      <c r="AO166" s="1548"/>
      <c r="AP166" s="1548" t="str">
        <f t="shared" si="4"/>
        <v>Группа потребителей</v>
      </c>
      <c r="AQ166" s="1548"/>
      <c r="AR166" s="1548"/>
      <c r="AS166" s="1559">
        <v>0</v>
      </c>
    </row>
    <row r="167" spans="1:45" s="1745" customFormat="1" ht="21" customHeight="1">
      <c r="A167" s="1287"/>
      <c r="B167" s="1287"/>
      <c r="C167" s="1287"/>
      <c r="D167" s="1287"/>
      <c r="E167" s="4034"/>
      <c r="F167" s="4034" t="s">
        <v>136</v>
      </c>
      <c r="G167" s="4034"/>
      <c r="H167" s="4034"/>
      <c r="I167" s="4036"/>
      <c r="J167" s="4036"/>
      <c r="K167" s="4035" t="str">
        <f>J166&amp;".1"</f>
        <v>1.10.1.1.1.1.1</v>
      </c>
      <c r="L167" s="1293" t="s">
        <v>617</v>
      </c>
      <c r="M167" s="1290"/>
      <c r="N167" s="1290"/>
      <c r="O167" s="1290"/>
      <c r="P167" s="4037"/>
      <c r="Q167" s="4037"/>
      <c r="R167" s="291">
        <v>1</v>
      </c>
      <c r="S167" s="1972" t="str">
        <f>$K167</f>
        <v>1.10.1.1.1.1.1</v>
      </c>
      <c r="T167" s="1271" t="s">
        <v>654</v>
      </c>
      <c r="U167" s="235"/>
      <c r="V167" s="685"/>
      <c r="W167" s="260"/>
      <c r="X167" s="685"/>
      <c r="Y167" s="1181"/>
      <c r="Z167" s="4038"/>
      <c r="AA167" s="3899" t="s">
        <v>53</v>
      </c>
      <c r="AB167" s="4038"/>
      <c r="AC167" s="3899" t="s">
        <v>53</v>
      </c>
      <c r="AD167" s="685">
        <v>7175.4</v>
      </c>
      <c r="AE167" s="260"/>
      <c r="AF167" s="685"/>
      <c r="AG167" s="1181"/>
      <c r="AH167" s="4038">
        <v>46023.595520833333</v>
      </c>
      <c r="AI167" s="3899" t="s">
        <v>53</v>
      </c>
      <c r="AJ167" s="4038">
        <v>46387.595625000002</v>
      </c>
      <c r="AK167" s="3899" t="s">
        <v>53</v>
      </c>
      <c r="AL167" s="260"/>
      <c r="AM167" s="4056" t="s">
        <v>618</v>
      </c>
      <c r="AN167" s="1566" t="e">
        <f ca="1">STRCHECKDATE(V168:AL168)</f>
        <v>#NAME?</v>
      </c>
      <c r="AO167" s="1548"/>
      <c r="AP167" s="1548" t="str">
        <f t="shared" si="4"/>
        <v>без дифференциации</v>
      </c>
      <c r="AQ167" s="1548"/>
      <c r="AR167" s="1548"/>
      <c r="AS167" s="1559">
        <v>0</v>
      </c>
    </row>
    <row r="168" spans="1:45" s="1745" customFormat="1" ht="0.75" customHeight="1">
      <c r="A168" s="1287"/>
      <c r="B168" s="1287"/>
      <c r="C168" s="1287"/>
      <c r="D168" s="1287"/>
      <c r="E168" s="4034"/>
      <c r="F168" s="4034" t="s">
        <v>136</v>
      </c>
      <c r="G168" s="4034"/>
      <c r="H168" s="4034"/>
      <c r="I168" s="4036"/>
      <c r="J168" s="4036"/>
      <c r="K168" s="4035"/>
      <c r="L168" s="1293"/>
      <c r="M168" s="1290"/>
      <c r="N168" s="1290"/>
      <c r="O168" s="1290"/>
      <c r="P168" s="4037"/>
      <c r="Q168" s="4037"/>
      <c r="R168" s="291"/>
      <c r="S168" s="1978"/>
      <c r="T168" s="235"/>
      <c r="U168" s="235"/>
      <c r="V168" s="260"/>
      <c r="W168" s="260"/>
      <c r="X168" s="260"/>
      <c r="Y168" s="263" t="str">
        <f>Z167&amp;"-"&amp;AB167</f>
        <v>-</v>
      </c>
      <c r="Z168" s="4039"/>
      <c r="AA168" s="3899"/>
      <c r="AB168" s="4039"/>
      <c r="AC168" s="3899"/>
      <c r="AD168" s="260"/>
      <c r="AE168" s="260"/>
      <c r="AF168" s="260"/>
      <c r="AG168" s="263" t="str">
        <f>AH167&amp;"-"&amp;AJ167</f>
        <v>46023,5955208333-46387,595625</v>
      </c>
      <c r="AH168" s="4039"/>
      <c r="AI168" s="3899"/>
      <c r="AJ168" s="4039"/>
      <c r="AK168" s="3899"/>
      <c r="AL168" s="260"/>
      <c r="AM168" s="4057"/>
      <c r="AN168" s="1566"/>
      <c r="AO168" s="1548"/>
      <c r="AP168" s="1548" t="str">
        <f t="shared" si="4"/>
        <v/>
      </c>
      <c r="AQ168" s="1548"/>
      <c r="AR168" s="1548"/>
      <c r="AS168" s="1559">
        <v>0</v>
      </c>
    </row>
    <row r="169" spans="1:45" s="1745" customFormat="1" ht="15" customHeight="1">
      <c r="A169" s="1287"/>
      <c r="B169" s="1287"/>
      <c r="C169" s="1287"/>
      <c r="D169" s="1287"/>
      <c r="E169" s="4034"/>
      <c r="F169" s="4034" t="s">
        <v>136</v>
      </c>
      <c r="G169" s="4034"/>
      <c r="H169" s="4034"/>
      <c r="I169" s="4036"/>
      <c r="J169" s="4035"/>
      <c r="K169" s="1287"/>
      <c r="L169" s="1293"/>
      <c r="M169" s="1290"/>
      <c r="N169" s="1290"/>
      <c r="O169" s="1672"/>
      <c r="P169" s="4037"/>
      <c r="Q169" s="4037"/>
      <c r="R169" s="290"/>
      <c r="S169" s="2673"/>
      <c r="T169" s="2674" t="s">
        <v>619</v>
      </c>
      <c r="U169" s="2675"/>
      <c r="V169" s="2676"/>
      <c r="W169" s="2677"/>
      <c r="X169" s="2678"/>
      <c r="Y169" s="2679"/>
      <c r="Z169" s="2680"/>
      <c r="AA169" s="2681"/>
      <c r="AB169" s="2682"/>
      <c r="AC169" s="2683"/>
      <c r="AD169" s="2684"/>
      <c r="AE169" s="2685"/>
      <c r="AF169" s="2686"/>
      <c r="AG169" s="2687"/>
      <c r="AH169" s="2688"/>
      <c r="AI169" s="2689"/>
      <c r="AJ169" s="2690"/>
      <c r="AK169" s="2691"/>
      <c r="AL169" s="2692"/>
      <c r="AM169" s="4058"/>
      <c r="AN169" s="1566"/>
      <c r="AO169" s="1548"/>
      <c r="AP169" s="1548" t="str">
        <f t="shared" si="4"/>
        <v>Добавить вид теплоносителя (параметры теплоносителя)</v>
      </c>
      <c r="AQ169" s="1548"/>
      <c r="AR169" s="1548"/>
      <c r="AS169" s="1559">
        <v>0</v>
      </c>
    </row>
    <row r="170" spans="1:45" s="1745" customFormat="1" ht="15" customHeight="1">
      <c r="A170" s="1287"/>
      <c r="B170" s="1287"/>
      <c r="C170" s="1287"/>
      <c r="D170" s="1287"/>
      <c r="E170" s="4034"/>
      <c r="F170" s="4034" t="s">
        <v>136</v>
      </c>
      <c r="G170" s="4034"/>
      <c r="H170" s="4034"/>
      <c r="I170" s="4035"/>
      <c r="J170" s="1287"/>
      <c r="K170" s="1287"/>
      <c r="L170" s="1293"/>
      <c r="M170" s="1290"/>
      <c r="N170" s="1672"/>
      <c r="O170" s="1672"/>
      <c r="P170" s="4037"/>
      <c r="Q170" s="1974"/>
      <c r="R170" s="290"/>
      <c r="S170" s="2693"/>
      <c r="T170" s="2694" t="s">
        <v>620</v>
      </c>
      <c r="U170" s="2695"/>
      <c r="V170" s="2696"/>
      <c r="W170" s="2697"/>
      <c r="X170" s="2698"/>
      <c r="Y170" s="2699"/>
      <c r="Z170" s="2700"/>
      <c r="AA170" s="2701"/>
      <c r="AB170" s="2702"/>
      <c r="AC170" s="2703"/>
      <c r="AD170" s="2704"/>
      <c r="AE170" s="2705"/>
      <c r="AF170" s="2706"/>
      <c r="AG170" s="2707"/>
      <c r="AH170" s="2708"/>
      <c r="AI170" s="2709"/>
      <c r="AJ170" s="2710"/>
      <c r="AK170" s="2711"/>
      <c r="AL170" s="2712"/>
      <c r="AM170" s="2713"/>
      <c r="AN170" s="1566"/>
      <c r="AO170" s="1548"/>
      <c r="AP170" s="1548" t="str">
        <f t="shared" si="4"/>
        <v>Добавить группу потребителей</v>
      </c>
      <c r="AQ170" s="1548"/>
      <c r="AR170" s="1548"/>
      <c r="AS170" s="1559">
        <v>0</v>
      </c>
    </row>
    <row r="171" spans="1:45" s="1745" customFormat="1" ht="14.25" customHeight="1">
      <c r="A171" s="1287"/>
      <c r="B171" s="1287"/>
      <c r="C171" s="1287"/>
      <c r="D171" s="1287"/>
      <c r="E171" s="4034"/>
      <c r="F171" s="4034" t="s">
        <v>136</v>
      </c>
      <c r="G171" s="4034"/>
      <c r="H171" s="4033"/>
      <c r="I171" s="1287"/>
      <c r="J171" s="1287"/>
      <c r="K171" s="1287"/>
      <c r="L171" s="1293"/>
      <c r="M171" s="1289"/>
      <c r="N171" s="1289"/>
      <c r="O171" s="1290"/>
      <c r="P171" s="1718"/>
      <c r="Q171" s="309"/>
      <c r="R171" s="289"/>
      <c r="S171" s="2714"/>
      <c r="T171" s="2715" t="s">
        <v>621</v>
      </c>
      <c r="U171" s="2716"/>
      <c r="V171" s="2717"/>
      <c r="W171" s="2718"/>
      <c r="X171" s="2719"/>
      <c r="Y171" s="2720"/>
      <c r="Z171" s="2721"/>
      <c r="AA171" s="2722"/>
      <c r="AB171" s="2723"/>
      <c r="AC171" s="2724"/>
      <c r="AD171" s="2725"/>
      <c r="AE171" s="2726"/>
      <c r="AF171" s="2727"/>
      <c r="AG171" s="2728"/>
      <c r="AH171" s="2729"/>
      <c r="AI171" s="2730"/>
      <c r="AJ171" s="2731"/>
      <c r="AK171" s="2732"/>
      <c r="AL171" s="2733"/>
      <c r="AM171" s="2734"/>
      <c r="AN171" s="1566"/>
      <c r="AO171" s="1548"/>
      <c r="AP171" s="1548" t="str">
        <f t="shared" ref="AP171:AP207" si="5">IF(T171="","",T171)</f>
        <v>Добавить схему подключения</v>
      </c>
      <c r="AQ171" s="1548"/>
      <c r="AR171" s="1548"/>
      <c r="AS171" s="1559">
        <v>0</v>
      </c>
    </row>
    <row r="172" spans="1:45" s="556" customFormat="1" ht="0.75" customHeight="1">
      <c r="A172" s="1267"/>
      <c r="B172" s="1267"/>
      <c r="C172" s="1267"/>
      <c r="D172" s="1267"/>
      <c r="E172" s="4034"/>
      <c r="F172" s="4034" t="s">
        <v>136</v>
      </c>
      <c r="G172" s="4033"/>
      <c r="H172" s="1267"/>
      <c r="I172" s="1267"/>
      <c r="J172" s="1267"/>
      <c r="K172" s="1267"/>
      <c r="L172" s="1469"/>
      <c r="M172" s="1239"/>
      <c r="N172" s="1239"/>
      <c r="O172" s="1566"/>
      <c r="P172" s="1240"/>
      <c r="Q172" s="1268"/>
      <c r="R172" s="1240"/>
      <c r="S172" s="1242"/>
      <c r="T172" s="1243" t="s">
        <v>235</v>
      </c>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566"/>
      <c r="AO172" s="1548"/>
      <c r="AP172" s="1548" t="str">
        <f t="shared" si="5"/>
        <v>Добавить источник для дифференциации</v>
      </c>
      <c r="AQ172" s="1548"/>
      <c r="AR172" s="1548"/>
      <c r="AS172" s="1566">
        <v>0</v>
      </c>
    </row>
    <row r="173" spans="1:45" s="556" customFormat="1" ht="0.75" customHeight="1">
      <c r="A173" s="1267"/>
      <c r="B173" s="1267"/>
      <c r="C173" s="1267"/>
      <c r="D173" s="1267"/>
      <c r="E173" s="4034"/>
      <c r="F173" s="4033" t="s">
        <v>136</v>
      </c>
      <c r="G173" s="1267"/>
      <c r="H173" s="1267"/>
      <c r="I173" s="1267"/>
      <c r="J173" s="1267"/>
      <c r="K173" s="1267"/>
      <c r="L173" s="1469"/>
      <c r="M173" s="1245"/>
      <c r="N173" s="1245"/>
      <c r="O173" s="1566"/>
      <c r="P173" s="1240"/>
      <c r="Q173" s="1268"/>
      <c r="R173" s="1240"/>
      <c r="S173" s="1246"/>
      <c r="T173" s="1247" t="s">
        <v>236</v>
      </c>
      <c r="U173" s="1248"/>
      <c r="V173" s="1248"/>
      <c r="W173" s="1248"/>
      <c r="X173" s="1248"/>
      <c r="Y173" s="1248"/>
      <c r="Z173" s="1248"/>
      <c r="AA173" s="1248"/>
      <c r="AB173" s="1248"/>
      <c r="AC173" s="1248"/>
      <c r="AD173" s="1248"/>
      <c r="AE173" s="1248"/>
      <c r="AF173" s="1248"/>
      <c r="AG173" s="1248"/>
      <c r="AH173" s="1248"/>
      <c r="AI173" s="1248"/>
      <c r="AJ173" s="1248"/>
      <c r="AK173" s="1248"/>
      <c r="AL173" s="1248"/>
      <c r="AM173" s="1248"/>
      <c r="AN173" s="1566"/>
      <c r="AO173" s="1548"/>
      <c r="AP173" s="1548" t="str">
        <f t="shared" si="5"/>
        <v>Добавить централизованную систему для дифференциации</v>
      </c>
      <c r="AQ173" s="1548"/>
      <c r="AR173" s="1548"/>
      <c r="AS173" s="1566">
        <v>0</v>
      </c>
    </row>
    <row r="174" spans="1:45" s="1745" customFormat="1" ht="21" customHeight="1">
      <c r="A174" s="1287"/>
      <c r="B174" s="1287" t="s">
        <v>277</v>
      </c>
      <c r="C174" s="1287"/>
      <c r="D174" s="1287"/>
      <c r="E174" s="4034"/>
      <c r="F174" s="4033" t="s">
        <v>146</v>
      </c>
      <c r="G174" s="1287"/>
      <c r="H174" s="1287"/>
      <c r="I174" s="1287"/>
      <c r="J174" s="1287"/>
      <c r="K174" s="1287"/>
      <c r="L174" s="1293"/>
      <c r="M174" s="1289"/>
      <c r="N174" s="1289"/>
      <c r="O174" s="1289"/>
      <c r="P174" s="1970"/>
      <c r="Q174" s="286"/>
      <c r="R174" s="287"/>
      <c r="S174" s="1972" t="str">
        <f>INDEX(PT_DIFFERENTIATION_NUM_TER,MATCH(B174,PT_DIFFERENTIATION_TER_ID,0))</f>
        <v>1.11</v>
      </c>
      <c r="T174" s="1446" t="s">
        <v>605</v>
      </c>
      <c r="U174" s="235"/>
      <c r="V174" s="4027"/>
      <c r="W174" s="4028"/>
      <c r="X174" s="4028"/>
      <c r="Y174" s="4028"/>
      <c r="Z174" s="4028"/>
      <c r="AA174" s="4028"/>
      <c r="AB174" s="4028"/>
      <c r="AC174" s="4029"/>
      <c r="AD174" s="4027" t="str">
        <f>INDEX(PT_DIFFERENTIATION_TER,MATCH(B174,PT_DIFFERENTIATION_TER_ID,0))</f>
        <v>Территория 11</v>
      </c>
      <c r="AE174" s="4028"/>
      <c r="AF174" s="4028"/>
      <c r="AG174" s="4028"/>
      <c r="AH174" s="4028"/>
      <c r="AI174" s="4028"/>
      <c r="AJ174" s="4028"/>
      <c r="AK174" s="4028"/>
      <c r="AL174" s="4029"/>
      <c r="AM174" s="1182" t="s">
        <v>606</v>
      </c>
      <c r="AN174" s="1566"/>
      <c r="AO174" s="1548"/>
      <c r="AP174" s="1548" t="str">
        <f t="shared" si="5"/>
        <v>Территория действия тарифа</v>
      </c>
      <c r="AQ174" s="1548"/>
      <c r="AR174" s="1548"/>
      <c r="AS174" s="1559">
        <v>0</v>
      </c>
    </row>
    <row r="175" spans="1:45" s="1745" customFormat="1" ht="23.25" customHeight="1">
      <c r="A175" s="1287"/>
      <c r="B175" s="1287"/>
      <c r="C175" s="1287" t="s">
        <v>278</v>
      </c>
      <c r="D175" s="1287"/>
      <c r="E175" s="4034"/>
      <c r="F175" s="4034" t="s">
        <v>141</v>
      </c>
      <c r="G175" s="4033">
        <v>1</v>
      </c>
      <c r="H175" s="1287"/>
      <c r="I175" s="1287"/>
      <c r="J175" s="1287"/>
      <c r="K175" s="1287"/>
      <c r="L175" s="1293"/>
      <c r="M175" s="1289"/>
      <c r="N175" s="1289"/>
      <c r="O175" s="1289"/>
      <c r="P175" s="288"/>
      <c r="Q175" s="286"/>
      <c r="R175" s="287"/>
      <c r="S175" s="1972" t="str">
        <f>INDEX(PT_DIFFERENTIATION_NUM_CS,MATCH(C175,PT_DIFFERENTIATION_CS_ID,0))</f>
        <v>1.11.1</v>
      </c>
      <c r="T175" s="244" t="s">
        <v>607</v>
      </c>
      <c r="U175" s="235"/>
      <c r="V175" s="4027"/>
      <c r="W175" s="4028"/>
      <c r="X175" s="4028"/>
      <c r="Y175" s="4028"/>
      <c r="Z175" s="4028"/>
      <c r="AA175" s="4028"/>
      <c r="AB175" s="4028"/>
      <c r="AC175" s="4029"/>
      <c r="AD175" s="4027" t="str">
        <f>INDEX(PT_DIFFERENTIATION_CS,MATCH(C175,PT_DIFFERENTIATION_CS_ID,0))</f>
        <v>котельная д. Богородицкое</v>
      </c>
      <c r="AE175" s="4028"/>
      <c r="AF175" s="4028"/>
      <c r="AG175" s="4028"/>
      <c r="AH175" s="4028"/>
      <c r="AI175" s="4028"/>
      <c r="AJ175" s="4028"/>
      <c r="AK175" s="4028"/>
      <c r="AL175" s="4029"/>
      <c r="AM175" s="1182" t="s">
        <v>608</v>
      </c>
      <c r="AN175" s="1566"/>
      <c r="AO175" s="1548"/>
      <c r="AP175" s="1548" t="str">
        <f t="shared" si="5"/>
        <v xml:space="preserve">Наименование системы теплоснабжения </v>
      </c>
      <c r="AQ175" s="1548"/>
      <c r="AR175" s="1548"/>
      <c r="AS175" s="1559">
        <v>0</v>
      </c>
    </row>
    <row r="176" spans="1:45" s="1745" customFormat="1" ht="21" customHeight="1">
      <c r="A176" s="1287"/>
      <c r="B176" s="1287"/>
      <c r="C176" s="1287"/>
      <c r="D176" s="1287" t="s">
        <v>279</v>
      </c>
      <c r="E176" s="4034"/>
      <c r="F176" s="4034" t="s">
        <v>141</v>
      </c>
      <c r="G176" s="4034"/>
      <c r="H176" s="4033">
        <v>1</v>
      </c>
      <c r="I176" s="1287"/>
      <c r="J176" s="1287"/>
      <c r="K176" s="1287"/>
      <c r="L176" s="1293"/>
      <c r="M176" s="1289"/>
      <c r="N176" s="1289"/>
      <c r="O176" s="1289"/>
      <c r="P176" s="288"/>
      <c r="Q176" s="286"/>
      <c r="R176" s="287"/>
      <c r="S176" s="1972" t="str">
        <f>INDEX(PT_DIFFERENTIATION_NUM_IST_TE,MATCH(D176,PT_DIFFERENTIATION_IST_TE_ID,0))</f>
        <v>1.11.1.1</v>
      </c>
      <c r="T176" s="245" t="s">
        <v>609</v>
      </c>
      <c r="U176" s="235"/>
      <c r="V176" s="4027"/>
      <c r="W176" s="4028"/>
      <c r="X176" s="4028"/>
      <c r="Y176" s="4028"/>
      <c r="Z176" s="4028"/>
      <c r="AA176" s="4028"/>
      <c r="AB176" s="4028"/>
      <c r="AC176" s="4029"/>
      <c r="AD176" s="4027" t="str">
        <f>INDEX(PT_DIFFERENTIATION_IST_TE,MATCH(D176,PT_DIFFERENTIATION_IST_TE_ID,0))</f>
        <v>без дифференциации</v>
      </c>
      <c r="AE176" s="4028"/>
      <c r="AF176" s="4028"/>
      <c r="AG176" s="4028"/>
      <c r="AH176" s="4028"/>
      <c r="AI176" s="4028"/>
      <c r="AJ176" s="4028"/>
      <c r="AK176" s="4028"/>
      <c r="AL176" s="4029"/>
      <c r="AM176" s="1182" t="s">
        <v>610</v>
      </c>
      <c r="AN176" s="1566"/>
      <c r="AO176" s="1548"/>
      <c r="AP176" s="1548" t="str">
        <f t="shared" si="5"/>
        <v xml:space="preserve">Источник тепловой энергии  </v>
      </c>
      <c r="AQ176" s="1548"/>
      <c r="AR176" s="1548"/>
      <c r="AS176" s="1559">
        <v>0</v>
      </c>
    </row>
    <row r="177" spans="1:45" s="1745" customFormat="1" ht="47.25" customHeight="1">
      <c r="A177" s="1287"/>
      <c r="B177" s="1287"/>
      <c r="C177" s="1287"/>
      <c r="D177" s="1287"/>
      <c r="E177" s="4034"/>
      <c r="F177" s="4034" t="s">
        <v>141</v>
      </c>
      <c r="G177" s="4034"/>
      <c r="H177" s="4034"/>
      <c r="I177" s="4035" t="str">
        <f>S176&amp;".1"</f>
        <v>1.11.1.1.1</v>
      </c>
      <c r="J177" s="1287"/>
      <c r="K177" s="1287"/>
      <c r="L177" s="1293" t="s">
        <v>611</v>
      </c>
      <c r="M177" s="1290"/>
      <c r="N177" s="1672"/>
      <c r="O177" s="1672"/>
      <c r="P177" s="4037">
        <v>1</v>
      </c>
      <c r="Q177" s="1974"/>
      <c r="R177" s="290"/>
      <c r="S177" s="1972" t="str">
        <f>$I177</f>
        <v>1.11.1.1.1</v>
      </c>
      <c r="T177" s="220" t="s">
        <v>612</v>
      </c>
      <c r="U177" s="235"/>
      <c r="V177" s="4021"/>
      <c r="W177" s="4022"/>
      <c r="X177" s="4022"/>
      <c r="Y177" s="4022"/>
      <c r="Z177" s="4022"/>
      <c r="AA177" s="4022"/>
      <c r="AB177" s="4022"/>
      <c r="AC177" s="4023"/>
      <c r="AD177" s="4021" t="s">
        <v>654</v>
      </c>
      <c r="AE177" s="4022"/>
      <c r="AF177" s="4022"/>
      <c r="AG177" s="4022"/>
      <c r="AH177" s="4022"/>
      <c r="AI177" s="4022"/>
      <c r="AJ177" s="4022"/>
      <c r="AK177" s="4022"/>
      <c r="AL177" s="4023"/>
      <c r="AM177" s="1182" t="s">
        <v>613</v>
      </c>
      <c r="AN177" s="1566"/>
      <c r="AO177" s="1548"/>
      <c r="AP177" s="1548" t="str">
        <f t="shared" si="5"/>
        <v>Схема подключения теплопотребляющей установки к коллектору источника тепловой энергии</v>
      </c>
      <c r="AQ177" s="1548"/>
      <c r="AR177" s="1548"/>
      <c r="AS177" s="1559">
        <v>0</v>
      </c>
    </row>
    <row r="178" spans="1:45" s="1745" customFormat="1" ht="21" customHeight="1">
      <c r="A178" s="1287"/>
      <c r="B178" s="1287"/>
      <c r="C178" s="1287"/>
      <c r="D178" s="1287"/>
      <c r="E178" s="4034"/>
      <c r="F178" s="4034" t="s">
        <v>141</v>
      </c>
      <c r="G178" s="4034"/>
      <c r="H178" s="4034"/>
      <c r="I178" s="4036"/>
      <c r="J178" s="4035" t="str">
        <f>I177&amp;".1"</f>
        <v>1.11.1.1.1.1</v>
      </c>
      <c r="K178" s="1287"/>
      <c r="L178" s="1293" t="s">
        <v>614</v>
      </c>
      <c r="M178" s="1290"/>
      <c r="N178" s="1290"/>
      <c r="O178" s="1672"/>
      <c r="P178" s="4037"/>
      <c r="Q178" s="4037">
        <v>1</v>
      </c>
      <c r="R178" s="291"/>
      <c r="S178" s="1972" t="str">
        <f>$J178</f>
        <v>1.11.1.1.1.1</v>
      </c>
      <c r="T178" s="221" t="s">
        <v>615</v>
      </c>
      <c r="U178" s="235"/>
      <c r="V178" s="4021"/>
      <c r="W178" s="4022"/>
      <c r="X178" s="4022"/>
      <c r="Y178" s="4022"/>
      <c r="Z178" s="4022"/>
      <c r="AA178" s="4022"/>
      <c r="AB178" s="4022"/>
      <c r="AC178" s="4023"/>
      <c r="AD178" s="4021" t="s">
        <v>654</v>
      </c>
      <c r="AE178" s="4022"/>
      <c r="AF178" s="4022"/>
      <c r="AG178" s="4022"/>
      <c r="AH178" s="4022"/>
      <c r="AI178" s="4022"/>
      <c r="AJ178" s="4022"/>
      <c r="AK178" s="4022"/>
      <c r="AL178" s="4023"/>
      <c r="AM178" s="1182" t="s">
        <v>616</v>
      </c>
      <c r="AN178" s="1566"/>
      <c r="AO178" s="1548"/>
      <c r="AP178" s="1548" t="str">
        <f t="shared" si="5"/>
        <v>Группа потребителей</v>
      </c>
      <c r="AQ178" s="1548"/>
      <c r="AR178" s="1548"/>
      <c r="AS178" s="1559">
        <v>0</v>
      </c>
    </row>
    <row r="179" spans="1:45" s="1745" customFormat="1" ht="21" customHeight="1">
      <c r="A179" s="1287"/>
      <c r="B179" s="1287"/>
      <c r="C179" s="1287"/>
      <c r="D179" s="1287"/>
      <c r="E179" s="4034"/>
      <c r="F179" s="4034" t="s">
        <v>141</v>
      </c>
      <c r="G179" s="4034"/>
      <c r="H179" s="4034"/>
      <c r="I179" s="4036"/>
      <c r="J179" s="4036"/>
      <c r="K179" s="4035" t="str">
        <f>J178&amp;".1"</f>
        <v>1.11.1.1.1.1.1</v>
      </c>
      <c r="L179" s="1293" t="s">
        <v>617</v>
      </c>
      <c r="M179" s="1290"/>
      <c r="N179" s="1290"/>
      <c r="O179" s="1290"/>
      <c r="P179" s="4037"/>
      <c r="Q179" s="4037"/>
      <c r="R179" s="291">
        <v>1</v>
      </c>
      <c r="S179" s="1972" t="str">
        <f>$K179</f>
        <v>1.11.1.1.1.1.1</v>
      </c>
      <c r="T179" s="1271" t="s">
        <v>654</v>
      </c>
      <c r="U179" s="235"/>
      <c r="V179" s="685"/>
      <c r="W179" s="260"/>
      <c r="X179" s="685"/>
      <c r="Y179" s="1181"/>
      <c r="Z179" s="4038"/>
      <c r="AA179" s="3899" t="s">
        <v>53</v>
      </c>
      <c r="AB179" s="4038"/>
      <c r="AC179" s="3899" t="s">
        <v>53</v>
      </c>
      <c r="AD179" s="685">
        <v>6630.21</v>
      </c>
      <c r="AE179" s="260"/>
      <c r="AF179" s="685"/>
      <c r="AG179" s="1181"/>
      <c r="AH179" s="4038">
        <v>46023.595150462963</v>
      </c>
      <c r="AI179" s="3899" t="s">
        <v>53</v>
      </c>
      <c r="AJ179" s="4038">
        <v>46387.595000000001</v>
      </c>
      <c r="AK179" s="3899" t="s">
        <v>53</v>
      </c>
      <c r="AL179" s="260"/>
      <c r="AM179" s="4056" t="s">
        <v>618</v>
      </c>
      <c r="AN179" s="1566" t="e">
        <f ca="1">STRCHECKDATE(V180:AL180)</f>
        <v>#NAME?</v>
      </c>
      <c r="AO179" s="1548"/>
      <c r="AP179" s="1548" t="str">
        <f t="shared" si="5"/>
        <v>без дифференциации</v>
      </c>
      <c r="AQ179" s="1548"/>
      <c r="AR179" s="1548"/>
      <c r="AS179" s="1559">
        <v>0</v>
      </c>
    </row>
    <row r="180" spans="1:45" s="1745" customFormat="1" ht="0.75" customHeight="1">
      <c r="A180" s="1287"/>
      <c r="B180" s="1287"/>
      <c r="C180" s="1287"/>
      <c r="D180" s="1287"/>
      <c r="E180" s="4034"/>
      <c r="F180" s="4034" t="s">
        <v>141</v>
      </c>
      <c r="G180" s="4034"/>
      <c r="H180" s="4034"/>
      <c r="I180" s="4036"/>
      <c r="J180" s="4036"/>
      <c r="K180" s="4035"/>
      <c r="L180" s="1293"/>
      <c r="M180" s="1290"/>
      <c r="N180" s="1290"/>
      <c r="O180" s="1290"/>
      <c r="P180" s="4037"/>
      <c r="Q180" s="4037"/>
      <c r="R180" s="291"/>
      <c r="S180" s="1978"/>
      <c r="T180" s="235"/>
      <c r="U180" s="235"/>
      <c r="V180" s="260"/>
      <c r="W180" s="260"/>
      <c r="X180" s="260"/>
      <c r="Y180" s="263" t="str">
        <f>Z179&amp;"-"&amp;AB179</f>
        <v>-</v>
      </c>
      <c r="Z180" s="4039"/>
      <c r="AA180" s="3899"/>
      <c r="AB180" s="4039"/>
      <c r="AC180" s="3899"/>
      <c r="AD180" s="260"/>
      <c r="AE180" s="260"/>
      <c r="AF180" s="260"/>
      <c r="AG180" s="263" t="str">
        <f>AH179&amp;"-"&amp;AJ179</f>
        <v>46023,595150463-46387,595</v>
      </c>
      <c r="AH180" s="4039"/>
      <c r="AI180" s="3899"/>
      <c r="AJ180" s="4039"/>
      <c r="AK180" s="3899"/>
      <c r="AL180" s="260"/>
      <c r="AM180" s="4057"/>
      <c r="AN180" s="1566"/>
      <c r="AO180" s="1548"/>
      <c r="AP180" s="1548" t="str">
        <f t="shared" si="5"/>
        <v/>
      </c>
      <c r="AQ180" s="1548"/>
      <c r="AR180" s="1548"/>
      <c r="AS180" s="1559">
        <v>0</v>
      </c>
    </row>
    <row r="181" spans="1:45" s="1745" customFormat="1" ht="15" customHeight="1">
      <c r="A181" s="1287"/>
      <c r="B181" s="1287"/>
      <c r="C181" s="1287"/>
      <c r="D181" s="1287"/>
      <c r="E181" s="4034"/>
      <c r="F181" s="4034" t="s">
        <v>141</v>
      </c>
      <c r="G181" s="4034"/>
      <c r="H181" s="4034"/>
      <c r="I181" s="4036"/>
      <c r="J181" s="4035"/>
      <c r="K181" s="1287"/>
      <c r="L181" s="1293"/>
      <c r="M181" s="1290"/>
      <c r="N181" s="1290"/>
      <c r="O181" s="1672"/>
      <c r="P181" s="4037"/>
      <c r="Q181" s="4037"/>
      <c r="R181" s="290"/>
      <c r="S181" s="2735"/>
      <c r="T181" s="2736" t="s">
        <v>619</v>
      </c>
      <c r="U181" s="2737"/>
      <c r="V181" s="2738"/>
      <c r="W181" s="2739"/>
      <c r="X181" s="2740"/>
      <c r="Y181" s="2741"/>
      <c r="Z181" s="2742"/>
      <c r="AA181" s="2743"/>
      <c r="AB181" s="2744"/>
      <c r="AC181" s="2745"/>
      <c r="AD181" s="2746"/>
      <c r="AE181" s="2747"/>
      <c r="AF181" s="2748"/>
      <c r="AG181" s="2749"/>
      <c r="AH181" s="2750"/>
      <c r="AI181" s="2751"/>
      <c r="AJ181" s="2752"/>
      <c r="AK181" s="2753"/>
      <c r="AL181" s="2754"/>
      <c r="AM181" s="4058"/>
      <c r="AN181" s="1566"/>
      <c r="AO181" s="1548"/>
      <c r="AP181" s="1548" t="str">
        <f t="shared" si="5"/>
        <v>Добавить вид теплоносителя (параметры теплоносителя)</v>
      </c>
      <c r="AQ181" s="1548"/>
      <c r="AR181" s="1548"/>
      <c r="AS181" s="1559">
        <v>0</v>
      </c>
    </row>
    <row r="182" spans="1:45" s="1745" customFormat="1" ht="15" customHeight="1">
      <c r="A182" s="1287"/>
      <c r="B182" s="1287"/>
      <c r="C182" s="1287"/>
      <c r="D182" s="1287"/>
      <c r="E182" s="4034"/>
      <c r="F182" s="4034" t="s">
        <v>141</v>
      </c>
      <c r="G182" s="4034"/>
      <c r="H182" s="4034"/>
      <c r="I182" s="4035"/>
      <c r="J182" s="1287"/>
      <c r="K182" s="1287"/>
      <c r="L182" s="1293"/>
      <c r="M182" s="1290"/>
      <c r="N182" s="1672"/>
      <c r="O182" s="1672"/>
      <c r="P182" s="4037"/>
      <c r="Q182" s="1974"/>
      <c r="R182" s="290"/>
      <c r="S182" s="2755"/>
      <c r="T182" s="2756" t="s">
        <v>620</v>
      </c>
      <c r="U182" s="2757"/>
      <c r="V182" s="2758"/>
      <c r="W182" s="2759"/>
      <c r="X182" s="2760"/>
      <c r="Y182" s="2761"/>
      <c r="Z182" s="2762"/>
      <c r="AA182" s="2763"/>
      <c r="AB182" s="2764"/>
      <c r="AC182" s="2765"/>
      <c r="AD182" s="2766"/>
      <c r="AE182" s="2767"/>
      <c r="AF182" s="2768"/>
      <c r="AG182" s="2769"/>
      <c r="AH182" s="2770"/>
      <c r="AI182" s="2771"/>
      <c r="AJ182" s="2772"/>
      <c r="AK182" s="2773"/>
      <c r="AL182" s="2774"/>
      <c r="AM182" s="2775"/>
      <c r="AN182" s="1566"/>
      <c r="AO182" s="1548"/>
      <c r="AP182" s="1548" t="str">
        <f t="shared" si="5"/>
        <v>Добавить группу потребителей</v>
      </c>
      <c r="AQ182" s="1548"/>
      <c r="AR182" s="1548"/>
      <c r="AS182" s="1559">
        <v>0</v>
      </c>
    </row>
    <row r="183" spans="1:45" s="1745" customFormat="1" ht="14.25" customHeight="1">
      <c r="A183" s="1287"/>
      <c r="B183" s="1287"/>
      <c r="C183" s="1287"/>
      <c r="D183" s="1287"/>
      <c r="E183" s="4034"/>
      <c r="F183" s="4034" t="s">
        <v>141</v>
      </c>
      <c r="G183" s="4034"/>
      <c r="H183" s="4033"/>
      <c r="I183" s="1287"/>
      <c r="J183" s="1287"/>
      <c r="K183" s="1287"/>
      <c r="L183" s="1293"/>
      <c r="M183" s="1289"/>
      <c r="N183" s="1289"/>
      <c r="O183" s="1290"/>
      <c r="P183" s="1718"/>
      <c r="Q183" s="309"/>
      <c r="R183" s="289"/>
      <c r="S183" s="2776"/>
      <c r="T183" s="2777" t="s">
        <v>621</v>
      </c>
      <c r="U183" s="2778"/>
      <c r="V183" s="2779"/>
      <c r="W183" s="2780"/>
      <c r="X183" s="2781"/>
      <c r="Y183" s="2782"/>
      <c r="Z183" s="2783"/>
      <c r="AA183" s="2784"/>
      <c r="AB183" s="2785"/>
      <c r="AC183" s="2786"/>
      <c r="AD183" s="2787"/>
      <c r="AE183" s="2788"/>
      <c r="AF183" s="2789"/>
      <c r="AG183" s="2790"/>
      <c r="AH183" s="2791"/>
      <c r="AI183" s="2792"/>
      <c r="AJ183" s="2793"/>
      <c r="AK183" s="2794"/>
      <c r="AL183" s="2795"/>
      <c r="AM183" s="2796"/>
      <c r="AN183" s="1566"/>
      <c r="AO183" s="1548"/>
      <c r="AP183" s="1548" t="str">
        <f t="shared" si="5"/>
        <v>Добавить схему подключения</v>
      </c>
      <c r="AQ183" s="1548"/>
      <c r="AR183" s="1548"/>
      <c r="AS183" s="1559">
        <v>0</v>
      </c>
    </row>
    <row r="184" spans="1:45" s="556" customFormat="1" ht="0.75" customHeight="1">
      <c r="A184" s="1267"/>
      <c r="B184" s="1267"/>
      <c r="C184" s="1267"/>
      <c r="D184" s="1267"/>
      <c r="E184" s="4034"/>
      <c r="F184" s="4034" t="s">
        <v>141</v>
      </c>
      <c r="G184" s="4033"/>
      <c r="H184" s="1267"/>
      <c r="I184" s="1267"/>
      <c r="J184" s="1267"/>
      <c r="K184" s="1267"/>
      <c r="L184" s="1469"/>
      <c r="M184" s="1239"/>
      <c r="N184" s="1239"/>
      <c r="O184" s="1566"/>
      <c r="P184" s="1240"/>
      <c r="Q184" s="1268"/>
      <c r="R184" s="1240"/>
      <c r="S184" s="1242"/>
      <c r="T184" s="1243" t="s">
        <v>235</v>
      </c>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566"/>
      <c r="AO184" s="1548"/>
      <c r="AP184" s="1548" t="str">
        <f t="shared" si="5"/>
        <v>Добавить источник для дифференциации</v>
      </c>
      <c r="AQ184" s="1548"/>
      <c r="AR184" s="1548"/>
      <c r="AS184" s="1566">
        <v>0</v>
      </c>
    </row>
    <row r="185" spans="1:45" s="1745" customFormat="1" ht="23.25" customHeight="1">
      <c r="A185" s="1287"/>
      <c r="B185" s="1287"/>
      <c r="C185" s="1287" t="s">
        <v>281</v>
      </c>
      <c r="D185" s="1287"/>
      <c r="E185" s="4034"/>
      <c r="F185" s="4034"/>
      <c r="G185" s="4033" t="s">
        <v>89</v>
      </c>
      <c r="H185" s="1287"/>
      <c r="I185" s="1287"/>
      <c r="J185" s="1287"/>
      <c r="K185" s="1287"/>
      <c r="L185" s="1293"/>
      <c r="M185" s="1289"/>
      <c r="N185" s="1289"/>
      <c r="O185" s="1289"/>
      <c r="P185" s="288"/>
      <c r="Q185" s="286"/>
      <c r="R185" s="287"/>
      <c r="S185" s="1972" t="str">
        <f>INDEX(PT_DIFFERENTIATION_NUM_CS,MATCH(C185,PT_DIFFERENTIATION_CS_ID,0))</f>
        <v>1.11.2</v>
      </c>
      <c r="T185" s="244" t="s">
        <v>607</v>
      </c>
      <c r="U185" s="235"/>
      <c r="V185" s="4027"/>
      <c r="W185" s="4028"/>
      <c r="X185" s="4028"/>
      <c r="Y185" s="4028"/>
      <c r="Z185" s="4028"/>
      <c r="AA185" s="4028"/>
      <c r="AB185" s="4028"/>
      <c r="AC185" s="4029"/>
      <c r="AD185" s="4027" t="str">
        <f>INDEX(PT_DIFFERENTIATION_CS,MATCH(C185,PT_DIFFERENTIATION_CS_ID,0))</f>
        <v xml:space="preserve">котельная  д. Сметанино
</v>
      </c>
      <c r="AE185" s="4028"/>
      <c r="AF185" s="4028"/>
      <c r="AG185" s="4028"/>
      <c r="AH185" s="4028"/>
      <c r="AI185" s="4028"/>
      <c r="AJ185" s="4028"/>
      <c r="AK185" s="4028"/>
      <c r="AL185" s="4029"/>
      <c r="AM185" s="1182" t="s">
        <v>608</v>
      </c>
      <c r="AN185" s="1566"/>
      <c r="AO185" s="1548"/>
      <c r="AP185" s="1548" t="str">
        <f t="shared" si="5"/>
        <v xml:space="preserve">Наименование системы теплоснабжения </v>
      </c>
      <c r="AQ185" s="1548"/>
      <c r="AR185" s="1548"/>
      <c r="AS185" s="1559">
        <v>0</v>
      </c>
    </row>
    <row r="186" spans="1:45" s="1745" customFormat="1" ht="21" customHeight="1">
      <c r="A186" s="1287"/>
      <c r="B186" s="1287"/>
      <c r="C186" s="1287"/>
      <c r="D186" s="1287" t="s">
        <v>282</v>
      </c>
      <c r="E186" s="4034"/>
      <c r="F186" s="4034"/>
      <c r="G186" s="4034">
        <v>1</v>
      </c>
      <c r="H186" s="4033">
        <v>1</v>
      </c>
      <c r="I186" s="1287"/>
      <c r="J186" s="1287"/>
      <c r="K186" s="1287"/>
      <c r="L186" s="1293"/>
      <c r="M186" s="1289"/>
      <c r="N186" s="1289"/>
      <c r="O186" s="1289"/>
      <c r="P186" s="288"/>
      <c r="Q186" s="286"/>
      <c r="R186" s="287"/>
      <c r="S186" s="1972" t="str">
        <f>INDEX(PT_DIFFERENTIATION_NUM_IST_TE,MATCH(D186,PT_DIFFERENTIATION_IST_TE_ID,0))</f>
        <v>1.11.2.1</v>
      </c>
      <c r="T186" s="245" t="s">
        <v>609</v>
      </c>
      <c r="U186" s="235"/>
      <c r="V186" s="4027"/>
      <c r="W186" s="4028"/>
      <c r="X186" s="4028"/>
      <c r="Y186" s="4028"/>
      <c r="Z186" s="4028"/>
      <c r="AA186" s="4028"/>
      <c r="AB186" s="4028"/>
      <c r="AC186" s="4029"/>
      <c r="AD186" s="4027" t="str">
        <f>INDEX(PT_DIFFERENTIATION_IST_TE,MATCH(D186,PT_DIFFERENTIATION_IST_TE_ID,0))</f>
        <v>без дифференциации</v>
      </c>
      <c r="AE186" s="4028"/>
      <c r="AF186" s="4028"/>
      <c r="AG186" s="4028"/>
      <c r="AH186" s="4028"/>
      <c r="AI186" s="4028"/>
      <c r="AJ186" s="4028"/>
      <c r="AK186" s="4028"/>
      <c r="AL186" s="4029"/>
      <c r="AM186" s="1182" t="s">
        <v>610</v>
      </c>
      <c r="AN186" s="1566"/>
      <c r="AO186" s="1548"/>
      <c r="AP186" s="1548" t="str">
        <f t="shared" si="5"/>
        <v xml:space="preserve">Источник тепловой энергии  </v>
      </c>
      <c r="AQ186" s="1548"/>
      <c r="AR186" s="1548"/>
      <c r="AS186" s="1559">
        <v>0</v>
      </c>
    </row>
    <row r="187" spans="1:45" s="1745" customFormat="1" ht="47.25" customHeight="1">
      <c r="A187" s="1287"/>
      <c r="B187" s="1287"/>
      <c r="C187" s="1287"/>
      <c r="D187" s="1287"/>
      <c r="E187" s="4034"/>
      <c r="F187" s="4034"/>
      <c r="G187" s="4034">
        <v>1</v>
      </c>
      <c r="H187" s="4034"/>
      <c r="I187" s="4035" t="str">
        <f>S186&amp;".1"</f>
        <v>1.11.2.1.1</v>
      </c>
      <c r="J187" s="1287"/>
      <c r="K187" s="1287"/>
      <c r="L187" s="1293" t="s">
        <v>611</v>
      </c>
      <c r="M187" s="1290"/>
      <c r="N187" s="1672"/>
      <c r="O187" s="1672"/>
      <c r="P187" s="4037">
        <v>1</v>
      </c>
      <c r="Q187" s="1974"/>
      <c r="R187" s="290"/>
      <c r="S187" s="1972" t="str">
        <f>$I187</f>
        <v>1.11.2.1.1</v>
      </c>
      <c r="T187" s="220" t="s">
        <v>612</v>
      </c>
      <c r="U187" s="235"/>
      <c r="V187" s="4021"/>
      <c r="W187" s="4022"/>
      <c r="X187" s="4022"/>
      <c r="Y187" s="4022"/>
      <c r="Z187" s="4022"/>
      <c r="AA187" s="4022"/>
      <c r="AB187" s="4022"/>
      <c r="AC187" s="4023"/>
      <c r="AD187" s="4021" t="s">
        <v>654</v>
      </c>
      <c r="AE187" s="4022"/>
      <c r="AF187" s="4022"/>
      <c r="AG187" s="4022"/>
      <c r="AH187" s="4022"/>
      <c r="AI187" s="4022"/>
      <c r="AJ187" s="4022"/>
      <c r="AK187" s="4022"/>
      <c r="AL187" s="4023"/>
      <c r="AM187" s="1182" t="s">
        <v>613</v>
      </c>
      <c r="AN187" s="1566"/>
      <c r="AO187" s="1548"/>
      <c r="AP187" s="1548" t="str">
        <f t="shared" si="5"/>
        <v>Схема подключения теплопотребляющей установки к коллектору источника тепловой энергии</v>
      </c>
      <c r="AQ187" s="1548"/>
      <c r="AR187" s="1548"/>
      <c r="AS187" s="1559">
        <v>0</v>
      </c>
    </row>
    <row r="188" spans="1:45" s="1745" customFormat="1" ht="21" customHeight="1">
      <c r="A188" s="1287"/>
      <c r="B188" s="1287"/>
      <c r="C188" s="1287"/>
      <c r="D188" s="1287"/>
      <c r="E188" s="4034"/>
      <c r="F188" s="4034"/>
      <c r="G188" s="4034">
        <v>1</v>
      </c>
      <c r="H188" s="4034"/>
      <c r="I188" s="4036"/>
      <c r="J188" s="4035" t="str">
        <f>I187&amp;".1"</f>
        <v>1.11.2.1.1.1</v>
      </c>
      <c r="K188" s="1287"/>
      <c r="L188" s="1293" t="s">
        <v>614</v>
      </c>
      <c r="M188" s="1290"/>
      <c r="N188" s="1290"/>
      <c r="O188" s="1672"/>
      <c r="P188" s="4037"/>
      <c r="Q188" s="4037">
        <v>1</v>
      </c>
      <c r="R188" s="291"/>
      <c r="S188" s="1972" t="str">
        <f>$J188</f>
        <v>1.11.2.1.1.1</v>
      </c>
      <c r="T188" s="221" t="s">
        <v>615</v>
      </c>
      <c r="U188" s="235"/>
      <c r="V188" s="4021"/>
      <c r="W188" s="4022"/>
      <c r="X188" s="4022"/>
      <c r="Y188" s="4022"/>
      <c r="Z188" s="4022"/>
      <c r="AA188" s="4022"/>
      <c r="AB188" s="4022"/>
      <c r="AC188" s="4023"/>
      <c r="AD188" s="4021" t="s">
        <v>654</v>
      </c>
      <c r="AE188" s="4022"/>
      <c r="AF188" s="4022"/>
      <c r="AG188" s="4022"/>
      <c r="AH188" s="4022"/>
      <c r="AI188" s="4022"/>
      <c r="AJ188" s="4022"/>
      <c r="AK188" s="4022"/>
      <c r="AL188" s="4023"/>
      <c r="AM188" s="1182" t="s">
        <v>616</v>
      </c>
      <c r="AN188" s="1566"/>
      <c r="AO188" s="1548"/>
      <c r="AP188" s="1548" t="str">
        <f t="shared" si="5"/>
        <v>Группа потребителей</v>
      </c>
      <c r="AQ188" s="1548"/>
      <c r="AR188" s="1548"/>
      <c r="AS188" s="1559">
        <v>0</v>
      </c>
    </row>
    <row r="189" spans="1:45" s="1745" customFormat="1" ht="21" customHeight="1">
      <c r="A189" s="1287"/>
      <c r="B189" s="1287"/>
      <c r="C189" s="1287"/>
      <c r="D189" s="1287"/>
      <c r="E189" s="4034"/>
      <c r="F189" s="4034"/>
      <c r="G189" s="4034">
        <v>1</v>
      </c>
      <c r="H189" s="4034"/>
      <c r="I189" s="4036"/>
      <c r="J189" s="4036"/>
      <c r="K189" s="4035" t="str">
        <f>J188&amp;".1"</f>
        <v>1.11.2.1.1.1.1</v>
      </c>
      <c r="L189" s="1293" t="s">
        <v>617</v>
      </c>
      <c r="M189" s="1290"/>
      <c r="N189" s="1290"/>
      <c r="O189" s="1290"/>
      <c r="P189" s="4037"/>
      <c r="Q189" s="4037"/>
      <c r="R189" s="291">
        <v>1</v>
      </c>
      <c r="S189" s="1972" t="str">
        <f>$K189</f>
        <v>1.11.2.1.1.1.1</v>
      </c>
      <c r="T189" s="1271" t="s">
        <v>654</v>
      </c>
      <c r="U189" s="235"/>
      <c r="V189" s="685"/>
      <c r="W189" s="260"/>
      <c r="X189" s="685"/>
      <c r="Y189" s="1181"/>
      <c r="Z189" s="4038"/>
      <c r="AA189" s="3899" t="s">
        <v>53</v>
      </c>
      <c r="AB189" s="4038"/>
      <c r="AC189" s="3899" t="s">
        <v>53</v>
      </c>
      <c r="AD189" s="685">
        <v>5229.66</v>
      </c>
      <c r="AE189" s="260"/>
      <c r="AF189" s="685"/>
      <c r="AG189" s="1181"/>
      <c r="AH189" s="4038">
        <v>46023.594756944447</v>
      </c>
      <c r="AI189" s="3899" t="s">
        <v>53</v>
      </c>
      <c r="AJ189" s="4038">
        <v>46387.594884259262</v>
      </c>
      <c r="AK189" s="3899" t="s">
        <v>53</v>
      </c>
      <c r="AL189" s="260"/>
      <c r="AM189" s="4056" t="s">
        <v>618</v>
      </c>
      <c r="AN189" s="1566" t="e">
        <f ca="1">STRCHECKDATE(V190:AL190)</f>
        <v>#NAME?</v>
      </c>
      <c r="AO189" s="1548"/>
      <c r="AP189" s="1548" t="str">
        <f t="shared" si="5"/>
        <v>без дифференциации</v>
      </c>
      <c r="AQ189" s="1548"/>
      <c r="AR189" s="1548"/>
      <c r="AS189" s="1559">
        <v>0</v>
      </c>
    </row>
    <row r="190" spans="1:45" s="1745" customFormat="1" ht="0.75" customHeight="1">
      <c r="A190" s="1287"/>
      <c r="B190" s="1287"/>
      <c r="C190" s="1287"/>
      <c r="D190" s="1287"/>
      <c r="E190" s="4034"/>
      <c r="F190" s="4034"/>
      <c r="G190" s="4034">
        <v>1</v>
      </c>
      <c r="H190" s="4034"/>
      <c r="I190" s="4036"/>
      <c r="J190" s="4036"/>
      <c r="K190" s="4035"/>
      <c r="L190" s="1293"/>
      <c r="M190" s="1290"/>
      <c r="N190" s="1290"/>
      <c r="O190" s="1290"/>
      <c r="P190" s="4037"/>
      <c r="Q190" s="4037"/>
      <c r="R190" s="291"/>
      <c r="S190" s="1978"/>
      <c r="T190" s="235"/>
      <c r="U190" s="235"/>
      <c r="V190" s="260"/>
      <c r="W190" s="260"/>
      <c r="X190" s="260"/>
      <c r="Y190" s="263" t="str">
        <f>Z189&amp;"-"&amp;AB189</f>
        <v>-</v>
      </c>
      <c r="Z190" s="4039"/>
      <c r="AA190" s="3899"/>
      <c r="AB190" s="4039"/>
      <c r="AC190" s="3899"/>
      <c r="AD190" s="260"/>
      <c r="AE190" s="260"/>
      <c r="AF190" s="260"/>
      <c r="AG190" s="263" t="str">
        <f>AH189&amp;"-"&amp;AJ189</f>
        <v>46023,5947569444-46387,5948842593</v>
      </c>
      <c r="AH190" s="4039"/>
      <c r="AI190" s="3899"/>
      <c r="AJ190" s="4039"/>
      <c r="AK190" s="3899"/>
      <c r="AL190" s="260"/>
      <c r="AM190" s="4057"/>
      <c r="AN190" s="1566"/>
      <c r="AO190" s="1548"/>
      <c r="AP190" s="1548" t="str">
        <f t="shared" si="5"/>
        <v/>
      </c>
      <c r="AQ190" s="1548"/>
      <c r="AR190" s="1548"/>
      <c r="AS190" s="1559">
        <v>0</v>
      </c>
    </row>
    <row r="191" spans="1:45" s="1745" customFormat="1" ht="15" customHeight="1">
      <c r="A191" s="1287"/>
      <c r="B191" s="1287"/>
      <c r="C191" s="1287"/>
      <c r="D191" s="1287"/>
      <c r="E191" s="4034"/>
      <c r="F191" s="4034"/>
      <c r="G191" s="4034">
        <v>1</v>
      </c>
      <c r="H191" s="4034"/>
      <c r="I191" s="4036"/>
      <c r="J191" s="4035"/>
      <c r="K191" s="1287"/>
      <c r="L191" s="1293"/>
      <c r="M191" s="1290"/>
      <c r="N191" s="1290"/>
      <c r="O191" s="1672"/>
      <c r="P191" s="4037"/>
      <c r="Q191" s="4037"/>
      <c r="R191" s="290"/>
      <c r="S191" s="2797"/>
      <c r="T191" s="2798" t="s">
        <v>619</v>
      </c>
      <c r="U191" s="2799"/>
      <c r="V191" s="2800"/>
      <c r="W191" s="2801"/>
      <c r="X191" s="2802"/>
      <c r="Y191" s="2803"/>
      <c r="Z191" s="2804"/>
      <c r="AA191" s="2805"/>
      <c r="AB191" s="2806"/>
      <c r="AC191" s="2807"/>
      <c r="AD191" s="2808"/>
      <c r="AE191" s="2809"/>
      <c r="AF191" s="2810"/>
      <c r="AG191" s="2811"/>
      <c r="AH191" s="2812"/>
      <c r="AI191" s="2813"/>
      <c r="AJ191" s="2814"/>
      <c r="AK191" s="2815"/>
      <c r="AL191" s="2816"/>
      <c r="AM191" s="4058"/>
      <c r="AN191" s="1566"/>
      <c r="AO191" s="1548"/>
      <c r="AP191" s="1548" t="str">
        <f t="shared" si="5"/>
        <v>Добавить вид теплоносителя (параметры теплоносителя)</v>
      </c>
      <c r="AQ191" s="1548"/>
      <c r="AR191" s="1548"/>
      <c r="AS191" s="1559">
        <v>0</v>
      </c>
    </row>
    <row r="192" spans="1:45" s="1745" customFormat="1" ht="15" customHeight="1">
      <c r="A192" s="1287"/>
      <c r="B192" s="1287"/>
      <c r="C192" s="1287"/>
      <c r="D192" s="1287"/>
      <c r="E192" s="4034"/>
      <c r="F192" s="4034"/>
      <c r="G192" s="4034">
        <v>1</v>
      </c>
      <c r="H192" s="4034"/>
      <c r="I192" s="4035"/>
      <c r="J192" s="1287"/>
      <c r="K192" s="1287"/>
      <c r="L192" s="1293"/>
      <c r="M192" s="1290"/>
      <c r="N192" s="1672"/>
      <c r="O192" s="1672"/>
      <c r="P192" s="4037"/>
      <c r="Q192" s="1974"/>
      <c r="R192" s="290"/>
      <c r="S192" s="2817"/>
      <c r="T192" s="2818" t="s">
        <v>620</v>
      </c>
      <c r="U192" s="2819"/>
      <c r="V192" s="2820"/>
      <c r="W192" s="2821"/>
      <c r="X192" s="2822"/>
      <c r="Y192" s="2823"/>
      <c r="Z192" s="2824"/>
      <c r="AA192" s="2825"/>
      <c r="AB192" s="2826"/>
      <c r="AC192" s="2827"/>
      <c r="AD192" s="2828"/>
      <c r="AE192" s="2829"/>
      <c r="AF192" s="2830"/>
      <c r="AG192" s="2831"/>
      <c r="AH192" s="2832"/>
      <c r="AI192" s="2833"/>
      <c r="AJ192" s="2834"/>
      <c r="AK192" s="2835"/>
      <c r="AL192" s="2836"/>
      <c r="AM192" s="2837"/>
      <c r="AN192" s="1566"/>
      <c r="AO192" s="1548"/>
      <c r="AP192" s="1548" t="str">
        <f t="shared" si="5"/>
        <v>Добавить группу потребителей</v>
      </c>
      <c r="AQ192" s="1548"/>
      <c r="AR192" s="1548"/>
      <c r="AS192" s="1559">
        <v>0</v>
      </c>
    </row>
    <row r="193" spans="1:45" s="1745" customFormat="1" ht="14.25" customHeight="1">
      <c r="A193" s="1287"/>
      <c r="B193" s="1287"/>
      <c r="C193" s="1287"/>
      <c r="D193" s="1287"/>
      <c r="E193" s="4034"/>
      <c r="F193" s="4034"/>
      <c r="G193" s="4034">
        <v>1</v>
      </c>
      <c r="H193" s="4033"/>
      <c r="I193" s="1287"/>
      <c r="J193" s="1287"/>
      <c r="K193" s="1287"/>
      <c r="L193" s="1293"/>
      <c r="M193" s="1289"/>
      <c r="N193" s="1289"/>
      <c r="O193" s="1290"/>
      <c r="P193" s="1718"/>
      <c r="Q193" s="309"/>
      <c r="R193" s="289"/>
      <c r="S193" s="2838"/>
      <c r="T193" s="2839" t="s">
        <v>621</v>
      </c>
      <c r="U193" s="2840"/>
      <c r="V193" s="2841"/>
      <c r="W193" s="2842"/>
      <c r="X193" s="2843"/>
      <c r="Y193" s="2844"/>
      <c r="Z193" s="2845"/>
      <c r="AA193" s="2846"/>
      <c r="AB193" s="2847"/>
      <c r="AC193" s="2848"/>
      <c r="AD193" s="2849"/>
      <c r="AE193" s="2850"/>
      <c r="AF193" s="2851"/>
      <c r="AG193" s="2852"/>
      <c r="AH193" s="2853"/>
      <c r="AI193" s="2854"/>
      <c r="AJ193" s="2855"/>
      <c r="AK193" s="2856"/>
      <c r="AL193" s="2857"/>
      <c r="AM193" s="2858"/>
      <c r="AN193" s="1566"/>
      <c r="AO193" s="1548"/>
      <c r="AP193" s="1548" t="str">
        <f t="shared" si="5"/>
        <v>Добавить схему подключения</v>
      </c>
      <c r="AQ193" s="1548"/>
      <c r="AR193" s="1548"/>
      <c r="AS193" s="1559">
        <v>0</v>
      </c>
    </row>
    <row r="194" spans="1:45" s="556" customFormat="1" ht="0.75" customHeight="1">
      <c r="A194" s="1267"/>
      <c r="B194" s="1267"/>
      <c r="C194" s="1267"/>
      <c r="D194" s="1267"/>
      <c r="E194" s="4034"/>
      <c r="F194" s="4034"/>
      <c r="G194" s="4033">
        <v>1</v>
      </c>
      <c r="H194" s="1267"/>
      <c r="I194" s="1267"/>
      <c r="J194" s="1267"/>
      <c r="K194" s="1267"/>
      <c r="L194" s="1469"/>
      <c r="M194" s="1239"/>
      <c r="N194" s="1239"/>
      <c r="O194" s="1566"/>
      <c r="P194" s="1240"/>
      <c r="Q194" s="1268"/>
      <c r="R194" s="1240"/>
      <c r="S194" s="1242"/>
      <c r="T194" s="1243" t="s">
        <v>235</v>
      </c>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566"/>
      <c r="AO194" s="1548"/>
      <c r="AP194" s="1548" t="str">
        <f t="shared" si="5"/>
        <v>Добавить источник для дифференциации</v>
      </c>
      <c r="AQ194" s="1548"/>
      <c r="AR194" s="1548"/>
      <c r="AS194" s="1566">
        <v>0</v>
      </c>
    </row>
    <row r="195" spans="1:45" s="1745" customFormat="1" ht="23.25" customHeight="1">
      <c r="A195" s="1287"/>
      <c r="B195" s="1287"/>
      <c r="C195" s="1287" t="s">
        <v>284</v>
      </c>
      <c r="D195" s="1287"/>
      <c r="E195" s="4034"/>
      <c r="F195" s="4034"/>
      <c r="G195" s="4033" t="s">
        <v>77</v>
      </c>
      <c r="H195" s="1287"/>
      <c r="I195" s="1287"/>
      <c r="J195" s="1287"/>
      <c r="K195" s="1287"/>
      <c r="L195" s="1293"/>
      <c r="M195" s="1289"/>
      <c r="N195" s="1289"/>
      <c r="O195" s="1289"/>
      <c r="P195" s="288"/>
      <c r="Q195" s="286"/>
      <c r="R195" s="287"/>
      <c r="S195" s="1972" t="str">
        <f>INDEX(PT_DIFFERENTIATION_NUM_CS,MATCH(C195,PT_DIFFERENTIATION_CS_ID,0))</f>
        <v>1.11.3</v>
      </c>
      <c r="T195" s="244" t="s">
        <v>607</v>
      </c>
      <c r="U195" s="235"/>
      <c r="V195" s="4027"/>
      <c r="W195" s="4028"/>
      <c r="X195" s="4028"/>
      <c r="Y195" s="4028"/>
      <c r="Z195" s="4028"/>
      <c r="AA195" s="4028"/>
      <c r="AB195" s="4028"/>
      <c r="AC195" s="4029"/>
      <c r="AD195" s="4027" t="str">
        <f>INDEX(PT_DIFFERENTIATION_CS,MATCH(C195,PT_DIFFERENTIATION_CS_ID,0))</f>
        <v xml:space="preserve">котельная   с. Талашкино
</v>
      </c>
      <c r="AE195" s="4028"/>
      <c r="AF195" s="4028"/>
      <c r="AG195" s="4028"/>
      <c r="AH195" s="4028"/>
      <c r="AI195" s="4028"/>
      <c r="AJ195" s="4028"/>
      <c r="AK195" s="4028"/>
      <c r="AL195" s="4029"/>
      <c r="AM195" s="1182" t="s">
        <v>608</v>
      </c>
      <c r="AN195" s="1566"/>
      <c r="AO195" s="1548"/>
      <c r="AP195" s="1548" t="str">
        <f t="shared" si="5"/>
        <v xml:space="preserve">Наименование системы теплоснабжения </v>
      </c>
      <c r="AQ195" s="1548"/>
      <c r="AR195" s="1548"/>
      <c r="AS195" s="1559">
        <v>0</v>
      </c>
    </row>
    <row r="196" spans="1:45" s="1745" customFormat="1" ht="21" customHeight="1">
      <c r="A196" s="1287"/>
      <c r="B196" s="1287"/>
      <c r="C196" s="1287"/>
      <c r="D196" s="1287" t="s">
        <v>285</v>
      </c>
      <c r="E196" s="4034"/>
      <c r="F196" s="4034"/>
      <c r="G196" s="4034" t="s">
        <v>89</v>
      </c>
      <c r="H196" s="4033">
        <v>1</v>
      </c>
      <c r="I196" s="1287"/>
      <c r="J196" s="1287"/>
      <c r="K196" s="1287"/>
      <c r="L196" s="1293"/>
      <c r="M196" s="1289"/>
      <c r="N196" s="1289"/>
      <c r="O196" s="1289"/>
      <c r="P196" s="288"/>
      <c r="Q196" s="286"/>
      <c r="R196" s="287"/>
      <c r="S196" s="1972" t="str">
        <f>INDEX(PT_DIFFERENTIATION_NUM_IST_TE,MATCH(D196,PT_DIFFERENTIATION_IST_TE_ID,0))</f>
        <v>1.11.3.1</v>
      </c>
      <c r="T196" s="245" t="s">
        <v>609</v>
      </c>
      <c r="U196" s="235"/>
      <c r="V196" s="4027"/>
      <c r="W196" s="4028"/>
      <c r="X196" s="4028"/>
      <c r="Y196" s="4028"/>
      <c r="Z196" s="4028"/>
      <c r="AA196" s="4028"/>
      <c r="AB196" s="4028"/>
      <c r="AC196" s="4029"/>
      <c r="AD196" s="4027" t="str">
        <f>INDEX(PT_DIFFERENTIATION_IST_TE,MATCH(D196,PT_DIFFERENTIATION_IST_TE_ID,0))</f>
        <v>без дифференциации</v>
      </c>
      <c r="AE196" s="4028"/>
      <c r="AF196" s="4028"/>
      <c r="AG196" s="4028"/>
      <c r="AH196" s="4028"/>
      <c r="AI196" s="4028"/>
      <c r="AJ196" s="4028"/>
      <c r="AK196" s="4028"/>
      <c r="AL196" s="4029"/>
      <c r="AM196" s="1182" t="s">
        <v>610</v>
      </c>
      <c r="AN196" s="1566"/>
      <c r="AO196" s="1548"/>
      <c r="AP196" s="1548" t="str">
        <f t="shared" si="5"/>
        <v xml:space="preserve">Источник тепловой энергии  </v>
      </c>
      <c r="AQ196" s="1548"/>
      <c r="AR196" s="1548"/>
      <c r="AS196" s="1559">
        <v>0</v>
      </c>
    </row>
    <row r="197" spans="1:45" s="1745" customFormat="1" ht="47.25" customHeight="1">
      <c r="A197" s="1287"/>
      <c r="B197" s="1287"/>
      <c r="C197" s="1287"/>
      <c r="D197" s="1287"/>
      <c r="E197" s="4034"/>
      <c r="F197" s="4034"/>
      <c r="G197" s="4034" t="s">
        <v>89</v>
      </c>
      <c r="H197" s="4034"/>
      <c r="I197" s="4035" t="str">
        <f>S196&amp;".1"</f>
        <v>1.11.3.1.1</v>
      </c>
      <c r="J197" s="1287"/>
      <c r="K197" s="1287"/>
      <c r="L197" s="1293" t="s">
        <v>611</v>
      </c>
      <c r="M197" s="1290"/>
      <c r="N197" s="1672"/>
      <c r="O197" s="1672"/>
      <c r="P197" s="4037">
        <v>1</v>
      </c>
      <c r="Q197" s="1974"/>
      <c r="R197" s="290"/>
      <c r="S197" s="1972" t="str">
        <f>$I197</f>
        <v>1.11.3.1.1</v>
      </c>
      <c r="T197" s="220" t="s">
        <v>612</v>
      </c>
      <c r="U197" s="235"/>
      <c r="V197" s="4021"/>
      <c r="W197" s="4022"/>
      <c r="X197" s="4022"/>
      <c r="Y197" s="4022"/>
      <c r="Z197" s="4022"/>
      <c r="AA197" s="4022"/>
      <c r="AB197" s="4022"/>
      <c r="AC197" s="4023"/>
      <c r="AD197" s="4021" t="s">
        <v>654</v>
      </c>
      <c r="AE197" s="4022"/>
      <c r="AF197" s="4022"/>
      <c r="AG197" s="4022"/>
      <c r="AH197" s="4022"/>
      <c r="AI197" s="4022"/>
      <c r="AJ197" s="4022"/>
      <c r="AK197" s="4022"/>
      <c r="AL197" s="4023"/>
      <c r="AM197" s="1182" t="s">
        <v>613</v>
      </c>
      <c r="AN197" s="1566"/>
      <c r="AO197" s="1548"/>
      <c r="AP197" s="1548" t="str">
        <f t="shared" si="5"/>
        <v>Схема подключения теплопотребляющей установки к коллектору источника тепловой энергии</v>
      </c>
      <c r="AQ197" s="1548"/>
      <c r="AR197" s="1548"/>
      <c r="AS197" s="1559">
        <v>0</v>
      </c>
    </row>
    <row r="198" spans="1:45" s="1745" customFormat="1" ht="21" customHeight="1">
      <c r="A198" s="1287"/>
      <c r="B198" s="1287"/>
      <c r="C198" s="1287"/>
      <c r="D198" s="1287"/>
      <c r="E198" s="4034"/>
      <c r="F198" s="4034"/>
      <c r="G198" s="4034" t="s">
        <v>89</v>
      </c>
      <c r="H198" s="4034"/>
      <c r="I198" s="4036"/>
      <c r="J198" s="4035" t="str">
        <f>I197&amp;".1"</f>
        <v>1.11.3.1.1.1</v>
      </c>
      <c r="K198" s="1287"/>
      <c r="L198" s="1293" t="s">
        <v>614</v>
      </c>
      <c r="M198" s="1290"/>
      <c r="N198" s="1290"/>
      <c r="O198" s="1672"/>
      <c r="P198" s="4037"/>
      <c r="Q198" s="4037">
        <v>1</v>
      </c>
      <c r="R198" s="291"/>
      <c r="S198" s="1972" t="str">
        <f>$J198</f>
        <v>1.11.3.1.1.1</v>
      </c>
      <c r="T198" s="221" t="s">
        <v>615</v>
      </c>
      <c r="U198" s="235"/>
      <c r="V198" s="4021"/>
      <c r="W198" s="4022"/>
      <c r="X198" s="4022"/>
      <c r="Y198" s="4022"/>
      <c r="Z198" s="4022"/>
      <c r="AA198" s="4022"/>
      <c r="AB198" s="4022"/>
      <c r="AC198" s="4023"/>
      <c r="AD198" s="4021" t="s">
        <v>654</v>
      </c>
      <c r="AE198" s="4022"/>
      <c r="AF198" s="4022"/>
      <c r="AG198" s="4022"/>
      <c r="AH198" s="4022"/>
      <c r="AI198" s="4022"/>
      <c r="AJ198" s="4022"/>
      <c r="AK198" s="4022"/>
      <c r="AL198" s="4023"/>
      <c r="AM198" s="1182" t="s">
        <v>616</v>
      </c>
      <c r="AN198" s="1566"/>
      <c r="AO198" s="1548"/>
      <c r="AP198" s="1548" t="str">
        <f t="shared" si="5"/>
        <v>Группа потребителей</v>
      </c>
      <c r="AQ198" s="1548"/>
      <c r="AR198" s="1548"/>
      <c r="AS198" s="1559">
        <v>0</v>
      </c>
    </row>
    <row r="199" spans="1:45" s="1745" customFormat="1" ht="21" customHeight="1">
      <c r="A199" s="1287"/>
      <c r="B199" s="1287"/>
      <c r="C199" s="1287"/>
      <c r="D199" s="1287"/>
      <c r="E199" s="4034"/>
      <c r="F199" s="4034"/>
      <c r="G199" s="4034" t="s">
        <v>89</v>
      </c>
      <c r="H199" s="4034"/>
      <c r="I199" s="4036"/>
      <c r="J199" s="4036"/>
      <c r="K199" s="4035" t="str">
        <f>J198&amp;".1"</f>
        <v>1.11.3.1.1.1.1</v>
      </c>
      <c r="L199" s="1293" t="s">
        <v>617</v>
      </c>
      <c r="M199" s="1290"/>
      <c r="N199" s="1290"/>
      <c r="O199" s="1290"/>
      <c r="P199" s="4037"/>
      <c r="Q199" s="4037"/>
      <c r="R199" s="291">
        <v>1</v>
      </c>
      <c r="S199" s="1972" t="str">
        <f>$K199</f>
        <v>1.11.3.1.1.1.1</v>
      </c>
      <c r="T199" s="1271" t="s">
        <v>654</v>
      </c>
      <c r="U199" s="235"/>
      <c r="V199" s="685"/>
      <c r="W199" s="260"/>
      <c r="X199" s="685"/>
      <c r="Y199" s="1181"/>
      <c r="Z199" s="4038"/>
      <c r="AA199" s="3899" t="s">
        <v>53</v>
      </c>
      <c r="AB199" s="4038"/>
      <c r="AC199" s="3899" t="s">
        <v>53</v>
      </c>
      <c r="AD199" s="685">
        <v>4742.12</v>
      </c>
      <c r="AE199" s="260"/>
      <c r="AF199" s="685"/>
      <c r="AG199" s="1181"/>
      <c r="AH199" s="4038">
        <v>46023.594525462962</v>
      </c>
      <c r="AI199" s="3899" t="s">
        <v>53</v>
      </c>
      <c r="AJ199" s="4038">
        <v>46387.594641203701</v>
      </c>
      <c r="AK199" s="3899" t="s">
        <v>53</v>
      </c>
      <c r="AL199" s="260"/>
      <c r="AM199" s="4056" t="s">
        <v>618</v>
      </c>
      <c r="AN199" s="1566" t="e">
        <f ca="1">STRCHECKDATE(V200:AL200)</f>
        <v>#NAME?</v>
      </c>
      <c r="AO199" s="1548"/>
      <c r="AP199" s="1548" t="str">
        <f t="shared" si="5"/>
        <v>без дифференциации</v>
      </c>
      <c r="AQ199" s="1548"/>
      <c r="AR199" s="1548"/>
      <c r="AS199" s="1559">
        <v>0</v>
      </c>
    </row>
    <row r="200" spans="1:45" s="1745" customFormat="1" ht="0.75" customHeight="1">
      <c r="A200" s="1287"/>
      <c r="B200" s="1287"/>
      <c r="C200" s="1287"/>
      <c r="D200" s="1287"/>
      <c r="E200" s="4034"/>
      <c r="F200" s="4034"/>
      <c r="G200" s="4034" t="s">
        <v>89</v>
      </c>
      <c r="H200" s="4034"/>
      <c r="I200" s="4036"/>
      <c r="J200" s="4036"/>
      <c r="K200" s="4035"/>
      <c r="L200" s="1293"/>
      <c r="M200" s="1290"/>
      <c r="N200" s="1290"/>
      <c r="O200" s="1290"/>
      <c r="P200" s="4037"/>
      <c r="Q200" s="4037"/>
      <c r="R200" s="291"/>
      <c r="S200" s="1978"/>
      <c r="T200" s="235"/>
      <c r="U200" s="235"/>
      <c r="V200" s="260"/>
      <c r="W200" s="260"/>
      <c r="X200" s="260"/>
      <c r="Y200" s="263" t="str">
        <f>Z199&amp;"-"&amp;AB199</f>
        <v>-</v>
      </c>
      <c r="Z200" s="4039"/>
      <c r="AA200" s="3899"/>
      <c r="AB200" s="4039"/>
      <c r="AC200" s="3899"/>
      <c r="AD200" s="260"/>
      <c r="AE200" s="260"/>
      <c r="AF200" s="260"/>
      <c r="AG200" s="263" t="str">
        <f>AH199&amp;"-"&amp;AJ199</f>
        <v>46023,594525463-46387,5946412037</v>
      </c>
      <c r="AH200" s="4039"/>
      <c r="AI200" s="3899"/>
      <c r="AJ200" s="4039"/>
      <c r="AK200" s="3899"/>
      <c r="AL200" s="260"/>
      <c r="AM200" s="4057"/>
      <c r="AN200" s="1566"/>
      <c r="AO200" s="1548"/>
      <c r="AP200" s="1548" t="str">
        <f t="shared" si="5"/>
        <v/>
      </c>
      <c r="AQ200" s="1548"/>
      <c r="AR200" s="1548"/>
      <c r="AS200" s="1559">
        <v>0</v>
      </c>
    </row>
    <row r="201" spans="1:45" s="1745" customFormat="1" ht="15" customHeight="1">
      <c r="A201" s="1287"/>
      <c r="B201" s="1287"/>
      <c r="C201" s="1287"/>
      <c r="D201" s="1287"/>
      <c r="E201" s="4034"/>
      <c r="F201" s="4034"/>
      <c r="G201" s="4034" t="s">
        <v>89</v>
      </c>
      <c r="H201" s="4034"/>
      <c r="I201" s="4036"/>
      <c r="J201" s="4035"/>
      <c r="K201" s="1287"/>
      <c r="L201" s="1293"/>
      <c r="M201" s="1290"/>
      <c r="N201" s="1290"/>
      <c r="O201" s="1672"/>
      <c r="P201" s="4037"/>
      <c r="Q201" s="4037"/>
      <c r="R201" s="290"/>
      <c r="S201" s="2859"/>
      <c r="T201" s="2860" t="s">
        <v>619</v>
      </c>
      <c r="U201" s="2861"/>
      <c r="V201" s="2862"/>
      <c r="W201" s="2863"/>
      <c r="X201" s="2864"/>
      <c r="Y201" s="2865"/>
      <c r="Z201" s="2866"/>
      <c r="AA201" s="2867"/>
      <c r="AB201" s="2868"/>
      <c r="AC201" s="2869"/>
      <c r="AD201" s="2870"/>
      <c r="AE201" s="2871"/>
      <c r="AF201" s="2872"/>
      <c r="AG201" s="2873"/>
      <c r="AH201" s="2874"/>
      <c r="AI201" s="2875"/>
      <c r="AJ201" s="2876"/>
      <c r="AK201" s="2877"/>
      <c r="AL201" s="2878"/>
      <c r="AM201" s="4058"/>
      <c r="AN201" s="1566"/>
      <c r="AO201" s="1548"/>
      <c r="AP201" s="1548" t="str">
        <f t="shared" si="5"/>
        <v>Добавить вид теплоносителя (параметры теплоносителя)</v>
      </c>
      <c r="AQ201" s="1548"/>
      <c r="AR201" s="1548"/>
      <c r="AS201" s="1559">
        <v>0</v>
      </c>
    </row>
    <row r="202" spans="1:45" s="1745" customFormat="1" ht="15" customHeight="1">
      <c r="A202" s="1287"/>
      <c r="B202" s="1287"/>
      <c r="C202" s="1287"/>
      <c r="D202" s="1287"/>
      <c r="E202" s="4034"/>
      <c r="F202" s="4034"/>
      <c r="G202" s="4034" t="s">
        <v>89</v>
      </c>
      <c r="H202" s="4034"/>
      <c r="I202" s="4035"/>
      <c r="J202" s="1287"/>
      <c r="K202" s="1287"/>
      <c r="L202" s="1293"/>
      <c r="M202" s="1290"/>
      <c r="N202" s="1672"/>
      <c r="O202" s="1672"/>
      <c r="P202" s="4037"/>
      <c r="Q202" s="1974"/>
      <c r="R202" s="290"/>
      <c r="S202" s="2879"/>
      <c r="T202" s="2880" t="s">
        <v>620</v>
      </c>
      <c r="U202" s="2881"/>
      <c r="V202" s="2882"/>
      <c r="W202" s="2883"/>
      <c r="X202" s="2884"/>
      <c r="Y202" s="2885"/>
      <c r="Z202" s="2886"/>
      <c r="AA202" s="2887"/>
      <c r="AB202" s="2888"/>
      <c r="AC202" s="2889"/>
      <c r="AD202" s="2890"/>
      <c r="AE202" s="2891"/>
      <c r="AF202" s="2892"/>
      <c r="AG202" s="2893"/>
      <c r="AH202" s="2894"/>
      <c r="AI202" s="2895"/>
      <c r="AJ202" s="2896"/>
      <c r="AK202" s="2897"/>
      <c r="AL202" s="2898"/>
      <c r="AM202" s="2899"/>
      <c r="AN202" s="1566"/>
      <c r="AO202" s="1548"/>
      <c r="AP202" s="1548" t="str">
        <f t="shared" si="5"/>
        <v>Добавить группу потребителей</v>
      </c>
      <c r="AQ202" s="1548"/>
      <c r="AR202" s="1548"/>
      <c r="AS202" s="1559">
        <v>0</v>
      </c>
    </row>
    <row r="203" spans="1:45" s="1745" customFormat="1" ht="14.25" customHeight="1">
      <c r="A203" s="1287"/>
      <c r="B203" s="1287"/>
      <c r="C203" s="1287"/>
      <c r="D203" s="1287"/>
      <c r="E203" s="4034"/>
      <c r="F203" s="4034"/>
      <c r="G203" s="4034" t="s">
        <v>89</v>
      </c>
      <c r="H203" s="4033"/>
      <c r="I203" s="1287"/>
      <c r="J203" s="1287"/>
      <c r="K203" s="1287"/>
      <c r="L203" s="1293"/>
      <c r="M203" s="1289"/>
      <c r="N203" s="1289"/>
      <c r="O203" s="1290"/>
      <c r="P203" s="1718"/>
      <c r="Q203" s="309"/>
      <c r="R203" s="289"/>
      <c r="S203" s="2900"/>
      <c r="T203" s="2901" t="s">
        <v>621</v>
      </c>
      <c r="U203" s="2902"/>
      <c r="V203" s="2903"/>
      <c r="W203" s="2904"/>
      <c r="X203" s="2905"/>
      <c r="Y203" s="2906"/>
      <c r="Z203" s="2907"/>
      <c r="AA203" s="2908"/>
      <c r="AB203" s="2909"/>
      <c r="AC203" s="2910"/>
      <c r="AD203" s="2911"/>
      <c r="AE203" s="2912"/>
      <c r="AF203" s="2913"/>
      <c r="AG203" s="2914"/>
      <c r="AH203" s="2915"/>
      <c r="AI203" s="2916"/>
      <c r="AJ203" s="2917"/>
      <c r="AK203" s="2918"/>
      <c r="AL203" s="2919"/>
      <c r="AM203" s="2920"/>
      <c r="AN203" s="1566"/>
      <c r="AO203" s="1548"/>
      <c r="AP203" s="1548" t="str">
        <f t="shared" si="5"/>
        <v>Добавить схему подключения</v>
      </c>
      <c r="AQ203" s="1548"/>
      <c r="AR203" s="1548"/>
      <c r="AS203" s="1559">
        <v>0</v>
      </c>
    </row>
    <row r="204" spans="1:45" s="556" customFormat="1" ht="0.75" customHeight="1">
      <c r="A204" s="1267"/>
      <c r="B204" s="1267"/>
      <c r="C204" s="1267"/>
      <c r="D204" s="1267"/>
      <c r="E204" s="4034"/>
      <c r="F204" s="4034"/>
      <c r="G204" s="4033" t="s">
        <v>89</v>
      </c>
      <c r="H204" s="1267"/>
      <c r="I204" s="1267"/>
      <c r="J204" s="1267"/>
      <c r="K204" s="1267"/>
      <c r="L204" s="1469"/>
      <c r="M204" s="1239"/>
      <c r="N204" s="1239"/>
      <c r="O204" s="1566"/>
      <c r="P204" s="1240"/>
      <c r="Q204" s="1268"/>
      <c r="R204" s="1240"/>
      <c r="S204" s="1242"/>
      <c r="T204" s="1243" t="s">
        <v>235</v>
      </c>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566"/>
      <c r="AO204" s="1548"/>
      <c r="AP204" s="1548" t="str">
        <f t="shared" si="5"/>
        <v>Добавить источник для дифференциации</v>
      </c>
      <c r="AQ204" s="1548"/>
      <c r="AR204" s="1548"/>
      <c r="AS204" s="1566">
        <v>0</v>
      </c>
    </row>
    <row r="205" spans="1:45" s="556" customFormat="1" ht="0.75" customHeight="1">
      <c r="A205" s="1267"/>
      <c r="B205" s="1267"/>
      <c r="C205" s="1267"/>
      <c r="D205" s="1267"/>
      <c r="E205" s="4034"/>
      <c r="F205" s="4033" t="s">
        <v>141</v>
      </c>
      <c r="G205" s="1267"/>
      <c r="H205" s="1267"/>
      <c r="I205" s="1267"/>
      <c r="J205" s="1267"/>
      <c r="K205" s="1267"/>
      <c r="L205" s="1469"/>
      <c r="M205" s="1245"/>
      <c r="N205" s="1245"/>
      <c r="O205" s="1566"/>
      <c r="P205" s="1240"/>
      <c r="Q205" s="1268"/>
      <c r="R205" s="1240"/>
      <c r="S205" s="1246"/>
      <c r="T205" s="1247" t="s">
        <v>236</v>
      </c>
      <c r="U205" s="1248"/>
      <c r="V205" s="1248"/>
      <c r="W205" s="1248"/>
      <c r="X205" s="1248"/>
      <c r="Y205" s="1248"/>
      <c r="Z205" s="1248"/>
      <c r="AA205" s="1248"/>
      <c r="AB205" s="1248"/>
      <c r="AC205" s="1248"/>
      <c r="AD205" s="1248"/>
      <c r="AE205" s="1248"/>
      <c r="AF205" s="1248"/>
      <c r="AG205" s="1248"/>
      <c r="AH205" s="1248"/>
      <c r="AI205" s="1248"/>
      <c r="AJ205" s="1248"/>
      <c r="AK205" s="1248"/>
      <c r="AL205" s="1248"/>
      <c r="AM205" s="1248"/>
      <c r="AN205" s="1566"/>
      <c r="AO205" s="1548"/>
      <c r="AP205" s="1548" t="str">
        <f t="shared" si="5"/>
        <v>Добавить централизованную систему для дифференциации</v>
      </c>
      <c r="AQ205" s="1548"/>
      <c r="AR205" s="1548"/>
      <c r="AS205" s="1566">
        <v>0</v>
      </c>
    </row>
    <row r="206" spans="1:45" s="1566" customFormat="1" ht="1.1499999999999999" customHeight="1">
      <c r="A206" s="1267" t="s">
        <v>231</v>
      </c>
      <c r="B206" s="1267"/>
      <c r="C206" s="1267"/>
      <c r="D206" s="1267"/>
      <c r="E206" s="4033"/>
      <c r="F206" s="1267"/>
      <c r="G206" s="1267"/>
      <c r="H206" s="1267"/>
      <c r="I206" s="1267"/>
      <c r="J206" s="1267"/>
      <c r="K206" s="1267"/>
      <c r="L206" s="1270"/>
      <c r="M206" s="1245"/>
      <c r="N206" s="1245"/>
      <c r="O206" s="452"/>
      <c r="P206" s="314"/>
      <c r="Q206" s="1268"/>
      <c r="R206" s="314"/>
      <c r="S206" s="1246"/>
      <c r="T206" s="1249" t="s">
        <v>286</v>
      </c>
      <c r="U206" s="1248"/>
      <c r="V206" s="1248"/>
      <c r="W206" s="1248"/>
      <c r="X206" s="1248"/>
      <c r="Y206" s="1248"/>
      <c r="Z206" s="1248"/>
      <c r="AA206" s="1248"/>
      <c r="AB206" s="1248"/>
      <c r="AC206" s="1248"/>
      <c r="AD206" s="1248"/>
      <c r="AE206" s="1248"/>
      <c r="AF206" s="1248"/>
      <c r="AG206" s="1248"/>
      <c r="AH206" s="1248"/>
      <c r="AI206" s="1248"/>
      <c r="AJ206" s="1248"/>
      <c r="AK206" s="1248"/>
      <c r="AL206" s="1248"/>
      <c r="AM206" s="1248"/>
      <c r="AO206" s="434"/>
      <c r="AP206" s="434" t="str">
        <f t="shared" si="5"/>
        <v>Добавить территорию для дифференциации</v>
      </c>
      <c r="AQ206" s="434"/>
      <c r="AR206" s="434"/>
      <c r="AS206" s="445">
        <v>1</v>
      </c>
    </row>
    <row r="207" spans="1:45" s="1566" customFormat="1" ht="1.1499999999999999" customHeight="1">
      <c r="A207" s="1238"/>
      <c r="B207" s="1238"/>
      <c r="C207" s="1238"/>
      <c r="D207" s="1238"/>
      <c r="E207" s="1267"/>
      <c r="F207" s="1238"/>
      <c r="G207" s="1238"/>
      <c r="H207" s="1238"/>
      <c r="I207" s="1238"/>
      <c r="J207" s="1238"/>
      <c r="K207" s="1238"/>
      <c r="L207" s="1263"/>
      <c r="M207" s="1245"/>
      <c r="N207" s="1245"/>
      <c r="P207" s="1240"/>
      <c r="Q207" s="1241"/>
      <c r="R207" s="1240"/>
      <c r="S207" s="1246"/>
      <c r="T207" s="1249" t="s">
        <v>287</v>
      </c>
      <c r="U207" s="1248"/>
      <c r="V207" s="1248"/>
      <c r="W207" s="1248"/>
      <c r="X207" s="1248"/>
      <c r="Y207" s="1248"/>
      <c r="Z207" s="1248"/>
      <c r="AA207" s="1248"/>
      <c r="AB207" s="1248"/>
      <c r="AC207" s="1248"/>
      <c r="AD207" s="1248"/>
      <c r="AE207" s="1248"/>
      <c r="AF207" s="1248"/>
      <c r="AG207" s="1248"/>
      <c r="AH207" s="1248"/>
      <c r="AI207" s="1248"/>
      <c r="AJ207" s="1248"/>
      <c r="AK207" s="1248"/>
      <c r="AL207" s="1248"/>
      <c r="AM207" s="1248"/>
      <c r="AO207" s="717"/>
      <c r="AP207" s="717" t="str">
        <f t="shared" si="5"/>
        <v>Добавить наименование тарифа</v>
      </c>
      <c r="AQ207" s="717"/>
      <c r="AR207" s="717"/>
      <c r="AS207" s="452">
        <v>1</v>
      </c>
    </row>
    <row r="208" spans="1:45" ht="11.45" customHeight="1">
      <c r="M208" s="1084"/>
      <c r="N208" s="1084"/>
      <c r="O208" s="471"/>
      <c r="P208" s="1079"/>
      <c r="Q208" s="1079"/>
      <c r="R208" s="1079"/>
      <c r="S208" s="1079"/>
      <c r="AN208" s="1079"/>
      <c r="AO208" s="1079"/>
      <c r="AP208" s="1079"/>
      <c r="AQ208" s="1079"/>
      <c r="AR208" s="1079"/>
      <c r="AS208" s="1079">
        <v>11</v>
      </c>
    </row>
    <row r="209" spans="1:45" ht="28.5" customHeight="1">
      <c r="O209" s="471"/>
      <c r="S209" s="1177"/>
      <c r="T209" s="4032"/>
      <c r="U209" s="4032"/>
      <c r="V209" s="4032"/>
      <c r="W209" s="4032"/>
      <c r="X209" s="4032"/>
      <c r="Y209" s="4032"/>
      <c r="Z209" s="4032"/>
      <c r="AA209" s="4032"/>
      <c r="AB209" s="4032"/>
      <c r="AC209" s="4032"/>
      <c r="AD209" s="4032"/>
      <c r="AE209" s="4032"/>
      <c r="AF209" s="4032"/>
      <c r="AG209" s="4032"/>
      <c r="AH209" s="4032"/>
      <c r="AI209" s="4032"/>
      <c r="AJ209" s="4032"/>
      <c r="AK209" s="4032"/>
      <c r="AL209" s="4032"/>
      <c r="AM209" s="4032"/>
      <c r="AS209" s="1079">
        <v>27</v>
      </c>
    </row>
    <row r="210" spans="1:45" ht="65.25" customHeight="1">
      <c r="O210" s="471"/>
      <c r="T210" s="4032"/>
      <c r="U210" s="4032"/>
      <c r="V210" s="4032"/>
      <c r="W210" s="4032"/>
      <c r="X210" s="4032"/>
      <c r="Y210" s="4032"/>
      <c r="Z210" s="4032"/>
      <c r="AA210" s="4032"/>
      <c r="AB210" s="4032"/>
      <c r="AC210" s="4032"/>
      <c r="AD210" s="4032"/>
      <c r="AE210" s="4032"/>
      <c r="AF210" s="4032"/>
      <c r="AG210" s="4032"/>
      <c r="AH210" s="4032"/>
      <c r="AI210" s="4032"/>
      <c r="AJ210" s="4032"/>
      <c r="AK210" s="4032"/>
      <c r="AL210" s="4032"/>
      <c r="AM210" s="4032"/>
      <c r="AS210" s="1079">
        <v>62</v>
      </c>
    </row>
    <row r="211" spans="1:45" ht="14.65" customHeight="1">
      <c r="O211" s="471"/>
      <c r="AS211" s="1079">
        <v>14</v>
      </c>
    </row>
    <row r="212" spans="1:45" ht="18.75" customHeight="1">
      <c r="O212" s="471"/>
      <c r="S212" s="1177"/>
      <c r="T212" s="4032"/>
      <c r="U212" s="4032"/>
      <c r="V212" s="4032"/>
      <c r="W212" s="4032"/>
      <c r="X212" s="4032"/>
      <c r="Y212" s="4032"/>
      <c r="Z212" s="4032"/>
      <c r="AA212" s="4032"/>
      <c r="AB212" s="4032"/>
      <c r="AC212" s="4032"/>
      <c r="AD212" s="4032"/>
      <c r="AE212" s="4032"/>
      <c r="AF212" s="4032"/>
      <c r="AG212" s="4032"/>
      <c r="AH212" s="4032"/>
      <c r="AI212" s="4032"/>
      <c r="AJ212" s="4032"/>
      <c r="AK212" s="4032"/>
      <c r="AL212" s="4032"/>
      <c r="AM212" s="4032"/>
      <c r="AS212" s="1079">
        <v>18</v>
      </c>
    </row>
    <row r="213" spans="1:45" ht="18.75" customHeight="1">
      <c r="O213" s="471"/>
      <c r="T213" s="4032"/>
      <c r="U213" s="4032"/>
      <c r="V213" s="4032"/>
      <c r="W213" s="4032"/>
      <c r="X213" s="4032"/>
      <c r="Y213" s="4032"/>
      <c r="Z213" s="4032"/>
      <c r="AA213" s="4032"/>
      <c r="AB213" s="4032"/>
      <c r="AC213" s="4032"/>
      <c r="AD213" s="4032"/>
      <c r="AE213" s="4032"/>
      <c r="AF213" s="4032"/>
      <c r="AG213" s="4032"/>
      <c r="AH213" s="4032"/>
      <c r="AI213" s="4032"/>
      <c r="AJ213" s="4032"/>
      <c r="AK213" s="4032"/>
      <c r="AL213" s="4032"/>
      <c r="AM213" s="4032"/>
      <c r="AS213" s="1079">
        <v>18</v>
      </c>
    </row>
    <row r="214" spans="1:45" ht="29.25" customHeight="1">
      <c r="O214" s="471"/>
      <c r="S214" s="1177"/>
      <c r="T214" s="4032"/>
      <c r="U214" s="4032"/>
      <c r="V214" s="4032"/>
      <c r="W214" s="4032"/>
      <c r="X214" s="4032"/>
      <c r="Y214" s="4032"/>
      <c r="Z214" s="4032"/>
      <c r="AA214" s="4032"/>
      <c r="AB214" s="4032"/>
      <c r="AC214" s="4032"/>
      <c r="AD214" s="4032"/>
      <c r="AE214" s="4032"/>
      <c r="AF214" s="4032"/>
      <c r="AG214" s="4032"/>
      <c r="AH214" s="4032"/>
      <c r="AI214" s="4032"/>
      <c r="AJ214" s="4032"/>
      <c r="AK214" s="4032"/>
      <c r="AL214" s="4032"/>
      <c r="AM214" s="4032"/>
      <c r="AS214" s="1079">
        <v>28</v>
      </c>
    </row>
    <row r="215" spans="1:45" ht="22.5" hidden="1" customHeight="1">
      <c r="A215" s="1084" t="s">
        <v>69</v>
      </c>
      <c r="B215" s="1084">
        <v>0</v>
      </c>
      <c r="C215" s="1084">
        <v>0</v>
      </c>
      <c r="D215" s="1084">
        <v>0</v>
      </c>
      <c r="E215" s="1084">
        <v>0</v>
      </c>
      <c r="F215" s="1084">
        <v>0</v>
      </c>
      <c r="G215" s="1084">
        <v>0</v>
      </c>
      <c r="H215" s="1084">
        <v>0</v>
      </c>
      <c r="I215" s="1084">
        <v>0</v>
      </c>
      <c r="J215" s="1084">
        <v>0</v>
      </c>
      <c r="K215" s="1084">
        <v>0</v>
      </c>
      <c r="L215" s="1253">
        <v>0</v>
      </c>
      <c r="M215" s="1286">
        <v>0</v>
      </c>
      <c r="N215" s="1286">
        <v>0</v>
      </c>
      <c r="O215" s="1286">
        <v>0</v>
      </c>
      <c r="P215" s="1252">
        <v>3</v>
      </c>
      <c r="Q215" s="279">
        <v>3</v>
      </c>
      <c r="R215" s="279">
        <v>3</v>
      </c>
      <c r="S215" s="515">
        <v>12</v>
      </c>
      <c r="T215" s="1079">
        <v>31</v>
      </c>
      <c r="U215" s="1079">
        <v>0</v>
      </c>
      <c r="V215" s="1079">
        <v>0</v>
      </c>
      <c r="W215" s="1079">
        <v>0</v>
      </c>
      <c r="X215" s="1079">
        <v>0</v>
      </c>
      <c r="Y215" s="1079">
        <v>0</v>
      </c>
      <c r="Z215" s="1079">
        <v>0</v>
      </c>
      <c r="AA215" s="1079">
        <v>0</v>
      </c>
      <c r="AB215" s="1079">
        <v>0</v>
      </c>
      <c r="AC215" s="1079">
        <v>0</v>
      </c>
      <c r="AD215" s="1079">
        <v>24</v>
      </c>
      <c r="AE215" s="1079">
        <v>0</v>
      </c>
      <c r="AF215" s="1079">
        <v>24</v>
      </c>
      <c r="AG215" s="1079">
        <v>24</v>
      </c>
      <c r="AH215" s="1079">
        <v>11</v>
      </c>
      <c r="AI215" s="1079">
        <v>3</v>
      </c>
      <c r="AJ215" s="1079">
        <v>11</v>
      </c>
      <c r="AK215" s="1079">
        <v>0</v>
      </c>
      <c r="AL215" s="1079">
        <v>4</v>
      </c>
      <c r="AM215" s="1079">
        <v>115</v>
      </c>
      <c r="AN215" s="445">
        <v>10</v>
      </c>
      <c r="AO215" s="445">
        <v>10</v>
      </c>
      <c r="AP215" s="445">
        <v>10</v>
      </c>
      <c r="AQ215" s="445">
        <v>10</v>
      </c>
      <c r="AR215" s="445">
        <v>10</v>
      </c>
      <c r="AS215" s="1079">
        <v>23</v>
      </c>
    </row>
  </sheetData>
  <sheetProtection formatColumns="0" formatRows="0" insertRows="0" deleteColumns="0" deleteRows="0" sort="0" autoFilter="0"/>
  <mergeCells count="454">
    <mergeCell ref="AM199:AM201"/>
    <mergeCell ref="AH199:AH200"/>
    <mergeCell ref="AI199:AI200"/>
    <mergeCell ref="AJ199:AJ200"/>
    <mergeCell ref="AK199:AK200"/>
    <mergeCell ref="V198:AC198"/>
    <mergeCell ref="AD198:AL198"/>
    <mergeCell ref="V195:AC195"/>
    <mergeCell ref="AD195:AL195"/>
    <mergeCell ref="V196:AC196"/>
    <mergeCell ref="AD196:AL196"/>
    <mergeCell ref="V197:AC197"/>
    <mergeCell ref="AD197:AL197"/>
    <mergeCell ref="Z199:Z200"/>
    <mergeCell ref="AA199:AA200"/>
    <mergeCell ref="AB199:AB200"/>
    <mergeCell ref="AC199:AC200"/>
    <mergeCell ref="AM189:AM191"/>
    <mergeCell ref="AH189:AH190"/>
    <mergeCell ref="AI189:AI190"/>
    <mergeCell ref="AJ189:AJ190"/>
    <mergeCell ref="AK189:AK190"/>
    <mergeCell ref="V188:AC188"/>
    <mergeCell ref="AD188:AL188"/>
    <mergeCell ref="V185:AC185"/>
    <mergeCell ref="AD185:AL185"/>
    <mergeCell ref="V186:AC186"/>
    <mergeCell ref="AD186:AL186"/>
    <mergeCell ref="V187:AC187"/>
    <mergeCell ref="AD187:AL187"/>
    <mergeCell ref="Z189:Z190"/>
    <mergeCell ref="AA189:AA190"/>
    <mergeCell ref="AB189:AB190"/>
    <mergeCell ref="AC189:AC190"/>
    <mergeCell ref="AM119:AM121"/>
    <mergeCell ref="AH119:AH120"/>
    <mergeCell ref="AI119:AI120"/>
    <mergeCell ref="AJ119:AJ120"/>
    <mergeCell ref="AK119:AK120"/>
    <mergeCell ref="V118:AC118"/>
    <mergeCell ref="AD118:AL118"/>
    <mergeCell ref="V115:AC115"/>
    <mergeCell ref="AD115:AL115"/>
    <mergeCell ref="V116:AC116"/>
    <mergeCell ref="AD116:AL116"/>
    <mergeCell ref="V117:AC117"/>
    <mergeCell ref="AD117:AL117"/>
    <mergeCell ref="Z119:Z120"/>
    <mergeCell ref="AA119:AA120"/>
    <mergeCell ref="AB119:AB120"/>
    <mergeCell ref="AC119:AC120"/>
    <mergeCell ref="F174:F205"/>
    <mergeCell ref="G175:G184"/>
    <mergeCell ref="H176:H183"/>
    <mergeCell ref="I177:I182"/>
    <mergeCell ref="P177:P182"/>
    <mergeCell ref="J178:J181"/>
    <mergeCell ref="Q178:Q181"/>
    <mergeCell ref="K179:K180"/>
    <mergeCell ref="Z179:Z180"/>
    <mergeCell ref="G185:G194"/>
    <mergeCell ref="H186:H193"/>
    <mergeCell ref="I187:I192"/>
    <mergeCell ref="P187:P192"/>
    <mergeCell ref="J188:J191"/>
    <mergeCell ref="Q188:Q191"/>
    <mergeCell ref="K189:K190"/>
    <mergeCell ref="G195:G204"/>
    <mergeCell ref="H196:H203"/>
    <mergeCell ref="I197:I202"/>
    <mergeCell ref="P197:P202"/>
    <mergeCell ref="J198:J201"/>
    <mergeCell ref="Q198:Q201"/>
    <mergeCell ref="K199:K200"/>
    <mergeCell ref="AM179:AM181"/>
    <mergeCell ref="AH179:AH180"/>
    <mergeCell ref="AI179:AI180"/>
    <mergeCell ref="AJ179:AJ180"/>
    <mergeCell ref="AK179:AK180"/>
    <mergeCell ref="V178:AC178"/>
    <mergeCell ref="AD178:AL178"/>
    <mergeCell ref="V174:AC174"/>
    <mergeCell ref="AD174:AL174"/>
    <mergeCell ref="V175:AC175"/>
    <mergeCell ref="AD175:AL175"/>
    <mergeCell ref="V176:AC176"/>
    <mergeCell ref="AD176:AL176"/>
    <mergeCell ref="V177:AC177"/>
    <mergeCell ref="AD177:AL177"/>
    <mergeCell ref="AA179:AA180"/>
    <mergeCell ref="AB179:AB180"/>
    <mergeCell ref="AC179:AC180"/>
    <mergeCell ref="F162:F173"/>
    <mergeCell ref="G163:G172"/>
    <mergeCell ref="H164:H171"/>
    <mergeCell ref="I165:I170"/>
    <mergeCell ref="P165:P170"/>
    <mergeCell ref="J166:J169"/>
    <mergeCell ref="Q166:Q169"/>
    <mergeCell ref="K167:K168"/>
    <mergeCell ref="Z167:Z168"/>
    <mergeCell ref="AM167:AM169"/>
    <mergeCell ref="AH167:AH168"/>
    <mergeCell ref="AI167:AI168"/>
    <mergeCell ref="AJ167:AJ168"/>
    <mergeCell ref="AK167:AK168"/>
    <mergeCell ref="V166:AC166"/>
    <mergeCell ref="AD166:AL166"/>
    <mergeCell ref="V162:AC162"/>
    <mergeCell ref="AD162:AL162"/>
    <mergeCell ref="V163:AC163"/>
    <mergeCell ref="AD163:AL163"/>
    <mergeCell ref="V164:AC164"/>
    <mergeCell ref="AD164:AL164"/>
    <mergeCell ref="V165:AC165"/>
    <mergeCell ref="AD165:AL165"/>
    <mergeCell ref="AA167:AA168"/>
    <mergeCell ref="AB167:AB168"/>
    <mergeCell ref="AC167:AC168"/>
    <mergeCell ref="F150:F161"/>
    <mergeCell ref="G151:G160"/>
    <mergeCell ref="H152:H159"/>
    <mergeCell ref="I153:I158"/>
    <mergeCell ref="P153:P158"/>
    <mergeCell ref="J154:J157"/>
    <mergeCell ref="Q154:Q157"/>
    <mergeCell ref="K155:K156"/>
    <mergeCell ref="Z155:Z156"/>
    <mergeCell ref="AM155:AM157"/>
    <mergeCell ref="AH155:AH156"/>
    <mergeCell ref="AI155:AI156"/>
    <mergeCell ref="AJ155:AJ156"/>
    <mergeCell ref="AK155:AK156"/>
    <mergeCell ref="V154:AC154"/>
    <mergeCell ref="AD154:AL154"/>
    <mergeCell ref="V150:AC150"/>
    <mergeCell ref="AD150:AL150"/>
    <mergeCell ref="V151:AC151"/>
    <mergeCell ref="AD151:AL151"/>
    <mergeCell ref="V152:AC152"/>
    <mergeCell ref="AD152:AL152"/>
    <mergeCell ref="V153:AC153"/>
    <mergeCell ref="AD153:AL153"/>
    <mergeCell ref="AA155:AA156"/>
    <mergeCell ref="AB155:AB156"/>
    <mergeCell ref="AC155:AC156"/>
    <mergeCell ref="F138:F149"/>
    <mergeCell ref="G139:G148"/>
    <mergeCell ref="H140:H147"/>
    <mergeCell ref="I141:I146"/>
    <mergeCell ref="P141:P146"/>
    <mergeCell ref="J142:J145"/>
    <mergeCell ref="Q142:Q145"/>
    <mergeCell ref="K143:K144"/>
    <mergeCell ref="Z143:Z144"/>
    <mergeCell ref="AM143:AM145"/>
    <mergeCell ref="AH143:AH144"/>
    <mergeCell ref="AI143:AI144"/>
    <mergeCell ref="AJ143:AJ144"/>
    <mergeCell ref="AK143:AK144"/>
    <mergeCell ref="V142:AC142"/>
    <mergeCell ref="AD142:AL142"/>
    <mergeCell ref="V138:AC138"/>
    <mergeCell ref="AD138:AL138"/>
    <mergeCell ref="V139:AC139"/>
    <mergeCell ref="AD139:AL139"/>
    <mergeCell ref="V140:AC140"/>
    <mergeCell ref="AD140:AL140"/>
    <mergeCell ref="V141:AC141"/>
    <mergeCell ref="AD141:AL141"/>
    <mergeCell ref="AA143:AA144"/>
    <mergeCell ref="AB143:AB144"/>
    <mergeCell ref="AC143:AC144"/>
    <mergeCell ref="F126:F137"/>
    <mergeCell ref="G127:G136"/>
    <mergeCell ref="H128:H135"/>
    <mergeCell ref="I129:I134"/>
    <mergeCell ref="P129:P134"/>
    <mergeCell ref="J130:J133"/>
    <mergeCell ref="Q130:Q133"/>
    <mergeCell ref="K131:K132"/>
    <mergeCell ref="Z131:Z132"/>
    <mergeCell ref="AM131:AM133"/>
    <mergeCell ref="AH131:AH132"/>
    <mergeCell ref="AI131:AI132"/>
    <mergeCell ref="AJ131:AJ132"/>
    <mergeCell ref="AK131:AK132"/>
    <mergeCell ref="V130:AC130"/>
    <mergeCell ref="AD130:AL130"/>
    <mergeCell ref="V126:AC126"/>
    <mergeCell ref="AD126:AL126"/>
    <mergeCell ref="V127:AC127"/>
    <mergeCell ref="AD127:AL127"/>
    <mergeCell ref="V128:AC128"/>
    <mergeCell ref="AD128:AL128"/>
    <mergeCell ref="V129:AC129"/>
    <mergeCell ref="AD129:AL129"/>
    <mergeCell ref="AA131:AA132"/>
    <mergeCell ref="AB131:AB132"/>
    <mergeCell ref="AC131:AC132"/>
    <mergeCell ref="F104:F125"/>
    <mergeCell ref="G105:G114"/>
    <mergeCell ref="H106:H113"/>
    <mergeCell ref="I107:I112"/>
    <mergeCell ref="P107:P112"/>
    <mergeCell ref="J108:J111"/>
    <mergeCell ref="Q108:Q111"/>
    <mergeCell ref="K109:K110"/>
    <mergeCell ref="Z109:Z110"/>
    <mergeCell ref="G115:G124"/>
    <mergeCell ref="H116:H123"/>
    <mergeCell ref="I117:I122"/>
    <mergeCell ref="P117:P122"/>
    <mergeCell ref="J118:J121"/>
    <mergeCell ref="Q118:Q121"/>
    <mergeCell ref="K119:K120"/>
    <mergeCell ref="AM109:AM111"/>
    <mergeCell ref="AH109:AH110"/>
    <mergeCell ref="AI109:AI110"/>
    <mergeCell ref="AJ109:AJ110"/>
    <mergeCell ref="AK109:AK110"/>
    <mergeCell ref="V108:AC108"/>
    <mergeCell ref="AD108:AL108"/>
    <mergeCell ref="V104:AC104"/>
    <mergeCell ref="AD104:AL104"/>
    <mergeCell ref="V105:AC105"/>
    <mergeCell ref="AD105:AL105"/>
    <mergeCell ref="V106:AC106"/>
    <mergeCell ref="AD106:AL106"/>
    <mergeCell ref="V107:AC107"/>
    <mergeCell ref="AD107:AL107"/>
    <mergeCell ref="AA109:AA110"/>
    <mergeCell ref="AB109:AB110"/>
    <mergeCell ref="AC109:AC110"/>
    <mergeCell ref="F92:F103"/>
    <mergeCell ref="G93:G102"/>
    <mergeCell ref="H94:H101"/>
    <mergeCell ref="I95:I100"/>
    <mergeCell ref="P95:P100"/>
    <mergeCell ref="J96:J99"/>
    <mergeCell ref="Q96:Q99"/>
    <mergeCell ref="K97:K98"/>
    <mergeCell ref="Z97:Z98"/>
    <mergeCell ref="AM97:AM99"/>
    <mergeCell ref="AH97:AH98"/>
    <mergeCell ref="AI97:AI98"/>
    <mergeCell ref="AJ97:AJ98"/>
    <mergeCell ref="AK97:AK98"/>
    <mergeCell ref="V96:AC96"/>
    <mergeCell ref="AD96:AL96"/>
    <mergeCell ref="V92:AC92"/>
    <mergeCell ref="AD92:AL92"/>
    <mergeCell ref="V93:AC93"/>
    <mergeCell ref="AD93:AL93"/>
    <mergeCell ref="V94:AC94"/>
    <mergeCell ref="AD94:AL94"/>
    <mergeCell ref="V95:AC95"/>
    <mergeCell ref="AD95:AL95"/>
    <mergeCell ref="AA97:AA98"/>
    <mergeCell ref="AB97:AB98"/>
    <mergeCell ref="AC97:AC98"/>
    <mergeCell ref="F80:F91"/>
    <mergeCell ref="G81:G90"/>
    <mergeCell ref="H82:H89"/>
    <mergeCell ref="I83:I88"/>
    <mergeCell ref="P83:P88"/>
    <mergeCell ref="J84:J87"/>
    <mergeCell ref="Q84:Q87"/>
    <mergeCell ref="K85:K86"/>
    <mergeCell ref="Z85:Z86"/>
    <mergeCell ref="AM85:AM87"/>
    <mergeCell ref="AH85:AH86"/>
    <mergeCell ref="AI85:AI86"/>
    <mergeCell ref="AJ85:AJ86"/>
    <mergeCell ref="AK85:AK86"/>
    <mergeCell ref="V84:AC84"/>
    <mergeCell ref="AD84:AL84"/>
    <mergeCell ref="V80:AC80"/>
    <mergeCell ref="AD80:AL80"/>
    <mergeCell ref="V81:AC81"/>
    <mergeCell ref="AD81:AL81"/>
    <mergeCell ref="V82:AC82"/>
    <mergeCell ref="AD82:AL82"/>
    <mergeCell ref="V83:AC83"/>
    <mergeCell ref="AD83:AL83"/>
    <mergeCell ref="AA85:AA86"/>
    <mergeCell ref="AB85:AB86"/>
    <mergeCell ref="AC85:AC86"/>
    <mergeCell ref="F68:F79"/>
    <mergeCell ref="G69:G78"/>
    <mergeCell ref="H70:H77"/>
    <mergeCell ref="I71:I76"/>
    <mergeCell ref="P71:P76"/>
    <mergeCell ref="J72:J75"/>
    <mergeCell ref="Q72:Q75"/>
    <mergeCell ref="K73:K74"/>
    <mergeCell ref="Z73:Z74"/>
    <mergeCell ref="AM73:AM75"/>
    <mergeCell ref="AH73:AH74"/>
    <mergeCell ref="AI73:AI74"/>
    <mergeCell ref="AJ73:AJ74"/>
    <mergeCell ref="AK73:AK74"/>
    <mergeCell ref="V72:AC72"/>
    <mergeCell ref="AD72:AL72"/>
    <mergeCell ref="V68:AC68"/>
    <mergeCell ref="AD68:AL68"/>
    <mergeCell ref="V69:AC69"/>
    <mergeCell ref="AD69:AL69"/>
    <mergeCell ref="V70:AC70"/>
    <mergeCell ref="AD70:AL70"/>
    <mergeCell ref="V71:AC71"/>
    <mergeCell ref="AD71:AL71"/>
    <mergeCell ref="AA73:AA74"/>
    <mergeCell ref="AB73:AB74"/>
    <mergeCell ref="AC73:AC74"/>
    <mergeCell ref="V59:AC59"/>
    <mergeCell ref="AD59:AL59"/>
    <mergeCell ref="F56:F67"/>
    <mergeCell ref="G57:G66"/>
    <mergeCell ref="H58:H65"/>
    <mergeCell ref="I59:I64"/>
    <mergeCell ref="P59:P64"/>
    <mergeCell ref="J60:J63"/>
    <mergeCell ref="Q60:Q63"/>
    <mergeCell ref="K61:K62"/>
    <mergeCell ref="Z61:Z62"/>
    <mergeCell ref="AA61:AA62"/>
    <mergeCell ref="AB61:AB62"/>
    <mergeCell ref="AC61:AC6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20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61:AH62"/>
    <mergeCell ref="AI61:AI62"/>
    <mergeCell ref="AJ61:AJ62"/>
    <mergeCell ref="AK61:AK62"/>
    <mergeCell ref="V60:AC60"/>
    <mergeCell ref="AD60:AL60"/>
    <mergeCell ref="V56:AC56"/>
    <mergeCell ref="AD56:AL56"/>
    <mergeCell ref="T213:AM213"/>
    <mergeCell ref="T214:AM214"/>
    <mergeCell ref="T212:AM212"/>
    <mergeCell ref="AM49:AM51"/>
    <mergeCell ref="T209:AM209"/>
    <mergeCell ref="T210:AM21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61:AM63"/>
    <mergeCell ref="V57:AC57"/>
    <mergeCell ref="AD57:AL57"/>
    <mergeCell ref="V58:AC58"/>
    <mergeCell ref="AD58:AL58"/>
  </mergeCells>
  <dataValidations count="8">
    <dataValidation type="list" allowBlank="1" showInputMessage="1" errorTitle="Ошибка" error="Выберите значение из списка" prompt="Выберите значение из списка" sqref="V983238:AL983238 V65734:AL65734 V131270:AL131270 V196806:AL196806 V262342:AL262342 V327878:AL327878 V393414:AL393414 V458950:AL458950 V524486:AL524486 V590022:AL590022 V655558:AL655558 V721094:AL721094 V786630:AL786630 V852166:AL852166 V917702:AL917702">
      <formula1>kind_of_cons</formula1>
    </dataValidation>
    <dataValidation allowBlank="1" sqref="S131273:AM131279 S196809:AM196815 S262345:AM262351 S327881:AM327887 S393417:AM393423 S458953:AM458959 S524489:AM524495 S590025:AM590031 S655561:AM655567 S721097:AM721103 S786633:AM786639 S852169:AM852175 S917705:AM917711 S983241:AM983247 S65737:AM65743"/>
    <dataValidation type="list" allowBlank="1" showInputMessage="1" showErrorMessage="1" errorTitle="Ошибка" error="Выберите значение из списка" sqref="V983237:W983237 V65733:W65733 V131269:W131269 V196805:W196805 V262341:W262341 V327877:W327877 V393413:W393413 V458949:W458949 V524485:W524485 V590021:W590021 V655557:W655557 V721093:W721093 V786629:W786629 V852165:W852165 V917701:W917701 AD983237:AE983237 AD65733:AE65733 AD131269:AE131269 AD196805:AE196805 AD262341:AE262341 AD327877:AE327877 AD393413:AE393413 AD458949:AE458949 AD524485:AE524485 AD590021:AE590021 AD655557:AE655557 AD721093:AE721093 AD786629:AE786629 AD852165:AE852165 AD917701:AE917701">
      <formula1>kind_of_scheme_in</formula1>
    </dataValidation>
    <dataValidation type="textLength" operator="lessThanOrEqual" allowBlank="1" showInputMessage="1" showErrorMessage="1" errorTitle="Ошибка" error="Допускается ввод не более 900 символов!" sqref="AM65729:AM65736 AM131265:AM131272 AM196801:AM196808 AM262337:AM262344 AM327873:AM327880 AM393409:AM393416 AM458945:AM458952 AM524481:AM524488 AM590017:AM590024 AM655553:AM655560 AM721089:AM721096 AM786625:AM786632 AM852161:AM852168 AM917697:AM917704 AM983233:AM983240">
      <formula1>900</formula1>
    </dataValidation>
    <dataValidation type="list" allowBlank="1" showInputMessage="1" showErrorMessage="1" errorTitle="Ошибка" error="Выберите значение из списка" sqref="T65735 T131271 T196807 T262343 T327879 T393415 T458951 T524487 T590023 T655559 T721095 T786631 T852167 T917703 T98323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735 Z131271 Z196807 Z262343 Z327879 Z393415 Z458951 Z524487 Z590023 Z655559 Z721095 Z786631 Z852167 Z917703 Z983239 AB65735 AB131271 AB196807 AB262343 AB327879 AB393415 AB458951 AB524487 AB590023 AB655559 AB721095 AB786631 AB852167 AB917703 AB983239 Z8 AH65735 AH131271 AH196807 AH262343 AH327879 AH393415 AH458951 AH524487 AH590023 AH655559 AH721095 AH786631 AH852167 AH917703 AH983239 AJ65735 AJ131271 AJ196807 AJ262343 AJ327879 AJ393415 AJ458951 AJ524487 AJ590023 AJ655559 AJ721095 AJ786631 AJ852167 AJ917703 AJ983239 AJ49 AH49 AH8 AJ8 AB8 AH17 AJ17 Z49 AB49 Z61 AB61 AH61 AJ61 Z73 AB73 AH73 AJ73 Z85 AB85 AH85 AJ85 Z97 AB97 AH97 AJ97 Z109 AB109 AH109 AJ109 Z131 AB131 AH131 AJ131 Z143 AB143 AH143 AJ143 Z155 AB155 AH155 AJ155 Z167 AB167 AH167 AJ167 Z179 AB179 AH179 AJ179 Z119 AB119 AH119 AJ119 Z189 AB189 AH189 AJ189 Z199 AB199 AH199 AJ199"/>
    <dataValidation allowBlank="1" showInputMessage="1" showErrorMessage="1" prompt="Для выбора выполните двойной щелчок левой клавиши мыши по соответствующей ячейке." sqref="AA65735 AA131271 AA196807 AA262343 AA327879 AA393415 AA458951 AA524487 AA590023 AA655559 AA721095 AA786631 AA852167 AA917703 AA983239 AC131271 AC458951 AC196807 AC262343 AC327879 AC393415 AC524487 AC590023 AC655559 AC721095 AC786631 AC852167 AC917703 AC983239 AC65735 AI65735 AI131271 AI196807 AI262343 AI327879 AI393415 AI458951 AI524487 AI590023 AI655559 AI721095 AI786631 AI852167 AI917703 AI983239 AK327879 AK393415 AK49 AK524487 AK8 AK590023 AK655559 AK17 AK721095 AK786631 AK852167 AK917703 AK983239 AK65735 AK131271 AI49 AK458951 AI8 AC8 AA8 AI17 AK196807 AA49 AC49 AK262343 AA61 AC61 AI61 AK61 AA73 AC73 AI73 AK73 AA85 AC85 AI85 AK85 AA97 AC97 AI97 AK97 AA109 AC109 AI109 AK109 AA131 AC131 AI131 AK131 AA143 AC143 AI143 AK143 AA155 AC155 AI155 AK155 AA167 AC167 AI167 AK167 AA179 AC179 AI179 AK179 AA119 AC119 AI119 AK119 AA189 AC189 AI189 AK189 AA199 AC199 AI199 AK199"/>
    <dataValidation allowBlank="1" promptTitle="checkPeriodRange" sqref="Y65736 Y131272 Y196808 Y262344 Y327880 Y393416 Y458952 Y524488 Y590024 Y655560 Y721096 Y786632 Y852168 Y917704 Y983240 Y9 AG65736 AG131272 AG196808 AG262344 AG327880 AG393416 AG458952 AG524488 AG590024 AG655560 AG721096 AG786632 AG852168 AG917704 AG983240 AG9 AG50 AG18 Y50 Y62 AG62 Y74 AG74 Y86 AG86 Y98 AG98 Y110 AG110 Y132 AG132 Y144 AG144 Y156 AG156 Y168 AG168 Y180 AG180 Y120 AG120 Y190 AG190 Y200 AG2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70" hidden="1" customWidth="1"/>
    <col min="13" max="14" width="12.28515625" style="1975" hidden="1" customWidth="1"/>
    <col min="15" max="15" width="23.42578125" style="1975" hidden="1" customWidth="1"/>
    <col min="16" max="16" width="3" style="1975" customWidth="1"/>
    <col min="17" max="18" width="3" style="279" customWidth="1"/>
    <col min="19" max="19" width="12" style="197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v>
      </c>
    </row>
    <row r="2" spans="1:45" ht="21" hidden="1" customHeight="1">
      <c r="A2" s="1191"/>
      <c r="B2" s="1191"/>
      <c r="C2" s="1191"/>
      <c r="D2" s="1191"/>
      <c r="E2" s="4059">
        <v>1</v>
      </c>
      <c r="F2" s="1191"/>
      <c r="G2" s="1191"/>
      <c r="H2" s="1191"/>
      <c r="I2" s="1191"/>
      <c r="J2" s="1191"/>
      <c r="K2" s="1191"/>
      <c r="L2" s="1234"/>
      <c r="M2" s="1534"/>
      <c r="N2" s="1534"/>
      <c r="O2" s="1534"/>
      <c r="P2" s="1514"/>
      <c r="Q2" s="294"/>
      <c r="R2" s="289"/>
      <c r="S2" s="1850" t="e">
        <f>INDEX(PT_DIFFERENTIATION_NUM_NTAR,MATCH(A2,PT_DIFFERENTIATION_NTAR_ID,0))</f>
        <v>#N/A</v>
      </c>
      <c r="T2" s="1449" t="s">
        <v>195</v>
      </c>
      <c r="U2" s="235"/>
      <c r="V2" s="4027"/>
      <c r="W2" s="4028"/>
      <c r="X2" s="4028"/>
      <c r="Y2" s="4028"/>
      <c r="Z2" s="4028"/>
      <c r="AA2" s="4028"/>
      <c r="AB2" s="4028"/>
      <c r="AC2" s="4029"/>
      <c r="AD2" s="4027" t="e">
        <f>INDEX(PT_DIFFERENTIATION_NTAR,MATCH(A2,PT_DIFFERENTIATION_NTAR_ID,0))</f>
        <v>#N/A</v>
      </c>
      <c r="AE2" s="4028"/>
      <c r="AF2" s="4028"/>
      <c r="AG2" s="4028"/>
      <c r="AH2" s="4028"/>
      <c r="AI2" s="4028"/>
      <c r="AJ2" s="4028"/>
      <c r="AK2" s="4028"/>
      <c r="AL2" s="4029"/>
      <c r="AM2" s="1182" t="s">
        <v>604</v>
      </c>
      <c r="AO2" s="1548"/>
      <c r="AP2" s="1548" t="str">
        <f t="shared" ref="AP2:AP15" si="0">IF(T2="","",T2)</f>
        <v>Наименование тарифа</v>
      </c>
      <c r="AQ2" s="1548"/>
      <c r="AR2" s="1548"/>
      <c r="AS2" s="1555">
        <v>0</v>
      </c>
    </row>
    <row r="3" spans="1:45" ht="21" hidden="1" customHeight="1">
      <c r="A3" s="1191"/>
      <c r="B3" s="1191"/>
      <c r="C3" s="1191"/>
      <c r="D3" s="1191"/>
      <c r="E3" s="4060"/>
      <c r="F3" s="4059">
        <v>1</v>
      </c>
      <c r="G3" s="1191"/>
      <c r="H3" s="1191"/>
      <c r="I3" s="1191"/>
      <c r="J3" s="1191"/>
      <c r="K3" s="1191"/>
      <c r="L3" s="1234"/>
      <c r="M3" s="1534"/>
      <c r="N3" s="1534"/>
      <c r="O3" s="1534"/>
      <c r="P3" s="1832"/>
      <c r="Q3" s="286"/>
      <c r="R3" s="287"/>
      <c r="S3" s="1850" t="e">
        <f>INDEX(PT_DIFFERENTIATION_NUM_TER,MATCH(B3,PT_DIFFERENTIATION_TER_ID,0))</f>
        <v>#N/A</v>
      </c>
      <c r="T3" s="1446" t="s">
        <v>605</v>
      </c>
      <c r="U3" s="235"/>
      <c r="V3" s="4027"/>
      <c r="W3" s="4028"/>
      <c r="X3" s="4028"/>
      <c r="Y3" s="4028"/>
      <c r="Z3" s="4028"/>
      <c r="AA3" s="4028"/>
      <c r="AB3" s="4028"/>
      <c r="AC3" s="4029"/>
      <c r="AD3" s="4027" t="e">
        <f>INDEX(PT_DIFFERENTIATION_TER,MATCH(B3,PT_DIFFERENTIATION_TER_ID,0))</f>
        <v>#N/A</v>
      </c>
      <c r="AE3" s="4028"/>
      <c r="AF3" s="4028"/>
      <c r="AG3" s="4028"/>
      <c r="AH3" s="4028"/>
      <c r="AI3" s="4028"/>
      <c r="AJ3" s="4028"/>
      <c r="AK3" s="4028"/>
      <c r="AL3" s="4029"/>
      <c r="AM3" s="1182" t="s">
        <v>606</v>
      </c>
      <c r="AO3" s="1548"/>
      <c r="AP3" s="1548" t="str">
        <f t="shared" si="0"/>
        <v>Территория действия тарифа</v>
      </c>
      <c r="AQ3" s="1548"/>
      <c r="AR3" s="1548"/>
      <c r="AS3" s="1555">
        <v>0</v>
      </c>
    </row>
    <row r="4" spans="1:45" ht="23.25" hidden="1" customHeight="1">
      <c r="A4" s="1191"/>
      <c r="B4" s="1191"/>
      <c r="C4" s="1191"/>
      <c r="D4" s="1191"/>
      <c r="E4" s="4060"/>
      <c r="F4" s="4060"/>
      <c r="G4" s="4059">
        <v>1</v>
      </c>
      <c r="H4" s="1191"/>
      <c r="I4" s="1191"/>
      <c r="J4" s="1191"/>
      <c r="K4" s="1191"/>
      <c r="L4" s="1234"/>
      <c r="M4" s="1534"/>
      <c r="N4" s="1534"/>
      <c r="O4" s="1534"/>
      <c r="P4" s="288"/>
      <c r="Q4" s="286"/>
      <c r="R4" s="287"/>
      <c r="S4" s="1850" t="e">
        <f>INDEX(PT_DIFFERENTIATION_NUM_CS,MATCH(C4,PT_DIFFERENTIATION_CS_ID,0))</f>
        <v>#N/A</v>
      </c>
      <c r="T4" s="244" t="s">
        <v>607</v>
      </c>
      <c r="U4" s="235"/>
      <c r="V4" s="4027"/>
      <c r="W4" s="4028"/>
      <c r="X4" s="4028"/>
      <c r="Y4" s="4028"/>
      <c r="Z4" s="4028"/>
      <c r="AA4" s="4028"/>
      <c r="AB4" s="4028"/>
      <c r="AC4" s="4029"/>
      <c r="AD4" s="4027" t="e">
        <f>INDEX(PT_DIFFERENTIATION_CS,MATCH(C4,PT_DIFFERENTIATION_CS_ID,0))</f>
        <v>#N/A</v>
      </c>
      <c r="AE4" s="4028"/>
      <c r="AF4" s="4028"/>
      <c r="AG4" s="4028"/>
      <c r="AH4" s="4028"/>
      <c r="AI4" s="4028"/>
      <c r="AJ4" s="4028"/>
      <c r="AK4" s="4028"/>
      <c r="AL4" s="4029"/>
      <c r="AM4" s="1182" t="s">
        <v>608</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4060"/>
      <c r="F5" s="4060"/>
      <c r="G5" s="4060"/>
      <c r="H5" s="4059">
        <v>1</v>
      </c>
      <c r="I5" s="1191"/>
      <c r="J5" s="1191"/>
      <c r="K5" s="1191"/>
      <c r="L5" s="1234"/>
      <c r="M5" s="1534"/>
      <c r="N5" s="1534"/>
      <c r="O5" s="1534"/>
      <c r="P5" s="288"/>
      <c r="Q5" s="286"/>
      <c r="R5" s="287"/>
      <c r="S5" s="1850" t="e">
        <f>INDEX(PT_DIFFERENTIATION_NUM_IST_TE,MATCH(D5,PT_DIFFERENTIATION_IST_TE_ID,0))</f>
        <v>#N/A</v>
      </c>
      <c r="T5" s="245" t="s">
        <v>609</v>
      </c>
      <c r="U5" s="235"/>
      <c r="V5" s="4027"/>
      <c r="W5" s="4028"/>
      <c r="X5" s="4028"/>
      <c r="Y5" s="4028"/>
      <c r="Z5" s="4028"/>
      <c r="AA5" s="4028"/>
      <c r="AB5" s="4028"/>
      <c r="AC5" s="4029"/>
      <c r="AD5" s="4027" t="e">
        <f>INDEX(PT_DIFFERENTIATION_IST_TE,MATCH(D5,PT_DIFFERENTIATION_IST_TE_ID,0))</f>
        <v>#N/A</v>
      </c>
      <c r="AE5" s="4028"/>
      <c r="AF5" s="4028"/>
      <c r="AG5" s="4028"/>
      <c r="AH5" s="4028"/>
      <c r="AI5" s="4028"/>
      <c r="AJ5" s="4028"/>
      <c r="AK5" s="4028"/>
      <c r="AL5" s="4029"/>
      <c r="AM5" s="1182" t="s">
        <v>610</v>
      </c>
      <c r="AO5" s="1548"/>
      <c r="AP5" s="1548" t="str">
        <f t="shared" si="0"/>
        <v xml:space="preserve">Источник тепловой энергии  </v>
      </c>
      <c r="AQ5" s="1548"/>
      <c r="AR5" s="1548"/>
      <c r="AS5" s="1555">
        <v>0</v>
      </c>
    </row>
    <row r="6" spans="1:45" ht="47.25" hidden="1" customHeight="1">
      <c r="A6" s="1191"/>
      <c r="B6" s="1191"/>
      <c r="C6" s="1191"/>
      <c r="D6" s="1191"/>
      <c r="E6" s="4060"/>
      <c r="F6" s="4060"/>
      <c r="G6" s="4060"/>
      <c r="H6" s="4060"/>
      <c r="I6" s="3889" t="e">
        <f>S5&amp;".1"</f>
        <v>#N/A</v>
      </c>
      <c r="J6" s="1191"/>
      <c r="K6" s="1191"/>
      <c r="L6" s="1234" t="s">
        <v>611</v>
      </c>
      <c r="M6" s="1559"/>
      <c r="P6" s="4037">
        <v>1</v>
      </c>
      <c r="Q6" s="1846"/>
      <c r="R6" s="290"/>
      <c r="S6" s="1850" t="e">
        <f>$I6</f>
        <v>#N/A</v>
      </c>
      <c r="T6" s="220" t="s">
        <v>612</v>
      </c>
      <c r="U6" s="235"/>
      <c r="V6" s="4021"/>
      <c r="W6" s="4022"/>
      <c r="X6" s="4022"/>
      <c r="Y6" s="4022"/>
      <c r="Z6" s="4022"/>
      <c r="AA6" s="4022"/>
      <c r="AB6" s="4022"/>
      <c r="AC6" s="4023"/>
      <c r="AD6" s="4021"/>
      <c r="AE6" s="4022"/>
      <c r="AF6" s="4022"/>
      <c r="AG6" s="4022"/>
      <c r="AH6" s="4022"/>
      <c r="AI6" s="4022"/>
      <c r="AJ6" s="4022"/>
      <c r="AK6" s="4022"/>
      <c r="AL6" s="4023"/>
      <c r="AM6" s="1182" t="s">
        <v>613</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4060"/>
      <c r="F7" s="4060"/>
      <c r="G7" s="4060"/>
      <c r="H7" s="4060"/>
      <c r="I7" s="3870"/>
      <c r="J7" s="3889" t="e">
        <f>I6&amp;".1"</f>
        <v>#N/A</v>
      </c>
      <c r="K7" s="1191"/>
      <c r="L7" s="1234" t="s">
        <v>614</v>
      </c>
      <c r="M7" s="1559"/>
      <c r="N7" s="1555"/>
      <c r="P7" s="4037"/>
      <c r="Q7" s="4037">
        <v>1</v>
      </c>
      <c r="R7" s="291"/>
      <c r="S7" s="1850" t="e">
        <f>$J7</f>
        <v>#N/A</v>
      </c>
      <c r="T7" s="221" t="s">
        <v>615</v>
      </c>
      <c r="U7" s="235"/>
      <c r="V7" s="4021"/>
      <c r="W7" s="4022"/>
      <c r="X7" s="4022"/>
      <c r="Y7" s="4022"/>
      <c r="Z7" s="4022"/>
      <c r="AA7" s="4022"/>
      <c r="AB7" s="4022"/>
      <c r="AC7" s="4023"/>
      <c r="AD7" s="4021"/>
      <c r="AE7" s="4022"/>
      <c r="AF7" s="4022"/>
      <c r="AG7" s="4022"/>
      <c r="AH7" s="4022"/>
      <c r="AI7" s="4022"/>
      <c r="AJ7" s="4022"/>
      <c r="AK7" s="4022"/>
      <c r="AL7" s="4023"/>
      <c r="AM7" s="1182" t="s">
        <v>616</v>
      </c>
      <c r="AO7" s="1548"/>
      <c r="AP7" s="1548" t="str">
        <f t="shared" si="0"/>
        <v>Группа потребителей</v>
      </c>
      <c r="AQ7" s="1548"/>
      <c r="AR7" s="1548"/>
      <c r="AS7" s="1555">
        <v>0</v>
      </c>
    </row>
    <row r="8" spans="1:45" ht="21" hidden="1" customHeight="1">
      <c r="A8" s="1191"/>
      <c r="B8" s="1191"/>
      <c r="C8" s="1191"/>
      <c r="D8" s="1191"/>
      <c r="E8" s="4060"/>
      <c r="F8" s="4060"/>
      <c r="G8" s="4060"/>
      <c r="H8" s="4060"/>
      <c r="I8" s="3870"/>
      <c r="J8" s="3870"/>
      <c r="K8" s="3889" t="e">
        <f>J7&amp;".1"</f>
        <v>#N/A</v>
      </c>
      <c r="L8" s="1234" t="s">
        <v>617</v>
      </c>
      <c r="M8" s="1559"/>
      <c r="N8" s="1555"/>
      <c r="O8" s="1555"/>
      <c r="P8" s="4037"/>
      <c r="Q8" s="4037"/>
      <c r="R8" s="291">
        <v>1</v>
      </c>
      <c r="S8" s="1850" t="e">
        <f>$K8</f>
        <v>#N/A</v>
      </c>
      <c r="T8" s="1271"/>
      <c r="U8" s="235"/>
      <c r="V8" s="685"/>
      <c r="W8" s="260"/>
      <c r="X8" s="685"/>
      <c r="Y8" s="1181"/>
      <c r="Z8" s="4038"/>
      <c r="AA8" s="3899" t="s">
        <v>53</v>
      </c>
      <c r="AB8" s="4038"/>
      <c r="AC8" s="3899" t="s">
        <v>53</v>
      </c>
      <c r="AD8" s="685"/>
      <c r="AE8" s="260"/>
      <c r="AF8" s="685"/>
      <c r="AG8" s="1181"/>
      <c r="AH8" s="4038"/>
      <c r="AI8" s="3899" t="s">
        <v>53</v>
      </c>
      <c r="AJ8" s="4038"/>
      <c r="AK8" s="3899" t="s">
        <v>53</v>
      </c>
      <c r="AL8" s="260"/>
      <c r="AM8" s="4056" t="s">
        <v>618</v>
      </c>
      <c r="AN8" s="1560" t="e">
        <f ca="1">STRCHECKDATE(V9:AL9)</f>
        <v>#NAME?</v>
      </c>
      <c r="AO8" s="1548"/>
      <c r="AP8" s="1548" t="str">
        <f t="shared" si="0"/>
        <v/>
      </c>
      <c r="AQ8" s="1548"/>
      <c r="AR8" s="1548"/>
      <c r="AS8" s="1555">
        <v>0</v>
      </c>
    </row>
    <row r="9" spans="1:45" ht="0.75" hidden="1" customHeight="1">
      <c r="A9" s="1191"/>
      <c r="B9" s="1191"/>
      <c r="C9" s="1191"/>
      <c r="D9" s="1191"/>
      <c r="E9" s="4060"/>
      <c r="F9" s="4060"/>
      <c r="G9" s="4060"/>
      <c r="H9" s="4060"/>
      <c r="I9" s="3870"/>
      <c r="J9" s="3870"/>
      <c r="K9" s="3889"/>
      <c r="L9" s="1234"/>
      <c r="M9" s="1559"/>
      <c r="N9" s="1555"/>
      <c r="O9" s="1555"/>
      <c r="P9" s="4037"/>
      <c r="Q9" s="4037"/>
      <c r="R9" s="291"/>
      <c r="S9" s="1859"/>
      <c r="T9" s="235"/>
      <c r="U9" s="235"/>
      <c r="V9" s="260"/>
      <c r="W9" s="260"/>
      <c r="X9" s="260"/>
      <c r="Y9" s="263" t="str">
        <f>Z8&amp;"-"&amp;AB8</f>
        <v>-</v>
      </c>
      <c r="Z9" s="4039"/>
      <c r="AA9" s="3899"/>
      <c r="AB9" s="4039"/>
      <c r="AC9" s="3899"/>
      <c r="AD9" s="260"/>
      <c r="AE9" s="260"/>
      <c r="AF9" s="260"/>
      <c r="AG9" s="263" t="str">
        <f>AH8&amp;"-"&amp;AJ8</f>
        <v>-</v>
      </c>
      <c r="AH9" s="4039"/>
      <c r="AI9" s="3899"/>
      <c r="AJ9" s="4039"/>
      <c r="AK9" s="3899"/>
      <c r="AL9" s="260"/>
      <c r="AM9" s="4057"/>
      <c r="AO9" s="1548"/>
      <c r="AP9" s="1548" t="str">
        <f t="shared" si="0"/>
        <v/>
      </c>
      <c r="AQ9" s="1548"/>
      <c r="AR9" s="1548"/>
      <c r="AS9" s="1555">
        <v>0</v>
      </c>
    </row>
    <row r="10" spans="1:45" ht="15" hidden="1" customHeight="1">
      <c r="A10" s="1191"/>
      <c r="B10" s="1191"/>
      <c r="C10" s="1191"/>
      <c r="D10" s="1191"/>
      <c r="E10" s="4060"/>
      <c r="F10" s="4060"/>
      <c r="G10" s="4060"/>
      <c r="H10" s="4060"/>
      <c r="I10" s="3870"/>
      <c r="J10" s="3889"/>
      <c r="K10" s="1191"/>
      <c r="L10" s="1234"/>
      <c r="M10" s="1559"/>
      <c r="N10" s="1555"/>
      <c r="P10" s="4037"/>
      <c r="Q10" s="4037"/>
      <c r="R10" s="290"/>
      <c r="S10" s="1202"/>
      <c r="T10" s="223" t="s">
        <v>619</v>
      </c>
      <c r="U10" s="534"/>
      <c r="V10" s="534"/>
      <c r="W10" s="534"/>
      <c r="X10" s="534"/>
      <c r="Y10" s="534"/>
      <c r="Z10" s="534"/>
      <c r="AA10" s="534"/>
      <c r="AB10" s="534"/>
      <c r="AC10" s="534"/>
      <c r="AD10" s="534"/>
      <c r="AE10" s="534"/>
      <c r="AF10" s="534"/>
      <c r="AG10" s="534"/>
      <c r="AH10" s="534"/>
      <c r="AI10" s="534"/>
      <c r="AJ10" s="534"/>
      <c r="AK10" s="534"/>
      <c r="AL10" s="259"/>
      <c r="AM10" s="4058"/>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4060"/>
      <c r="F11" s="4060"/>
      <c r="G11" s="4060"/>
      <c r="H11" s="4060"/>
      <c r="I11" s="3889"/>
      <c r="J11" s="1191"/>
      <c r="K11" s="1191"/>
      <c r="L11" s="1234"/>
      <c r="M11" s="1559"/>
      <c r="P11" s="4037"/>
      <c r="Q11" s="1846"/>
      <c r="R11" s="290"/>
      <c r="S11" s="1202"/>
      <c r="T11" s="222" t="s">
        <v>620</v>
      </c>
      <c r="U11" s="534"/>
      <c r="V11" s="534"/>
      <c r="W11" s="534"/>
      <c r="X11" s="534"/>
      <c r="Y11" s="534"/>
      <c r="Z11" s="534"/>
      <c r="AA11" s="534"/>
      <c r="AB11" s="534"/>
      <c r="AC11" s="300"/>
      <c r="AD11" s="534"/>
      <c r="AE11" s="534"/>
      <c r="AF11" s="534"/>
      <c r="AG11" s="534"/>
      <c r="AH11" s="534"/>
      <c r="AI11" s="534"/>
      <c r="AJ11" s="534"/>
      <c r="AK11" s="300"/>
      <c r="AL11" s="534"/>
      <c r="AM11" s="238"/>
      <c r="AO11" s="1548"/>
      <c r="AP11" s="1548" t="str">
        <f t="shared" si="0"/>
        <v>Добавить группу потребителей</v>
      </c>
      <c r="AQ11" s="1548"/>
      <c r="AR11" s="1548"/>
      <c r="AS11" s="1555">
        <v>0</v>
      </c>
    </row>
    <row r="12" spans="1:45" ht="14.25" hidden="1" customHeight="1">
      <c r="A12" s="1191"/>
      <c r="B12" s="1191"/>
      <c r="C12" s="1191"/>
      <c r="D12" s="1191"/>
      <c r="E12" s="4060"/>
      <c r="F12" s="4060"/>
      <c r="G12" s="4060"/>
      <c r="H12" s="4059"/>
      <c r="I12" s="1191"/>
      <c r="J12" s="1191"/>
      <c r="K12" s="1191"/>
      <c r="L12" s="1234"/>
      <c r="M12" s="1534"/>
      <c r="N12" s="1534"/>
      <c r="O12" s="1559"/>
      <c r="P12" s="294"/>
      <c r="Q12" s="309"/>
      <c r="R12" s="289"/>
      <c r="S12" s="1202"/>
      <c r="T12" s="299" t="s">
        <v>621</v>
      </c>
      <c r="U12" s="534"/>
      <c r="V12" s="534"/>
      <c r="W12" s="534"/>
      <c r="X12" s="534"/>
      <c r="Y12" s="534"/>
      <c r="Z12" s="534"/>
      <c r="AA12" s="534"/>
      <c r="AB12" s="534"/>
      <c r="AC12" s="300"/>
      <c r="AD12" s="534"/>
      <c r="AE12" s="534"/>
      <c r="AF12" s="534"/>
      <c r="AG12" s="534"/>
      <c r="AH12" s="534"/>
      <c r="AI12" s="534"/>
      <c r="AJ12" s="534"/>
      <c r="AK12" s="300"/>
      <c r="AL12" s="534"/>
      <c r="AM12" s="238"/>
      <c r="AO12" s="1548"/>
      <c r="AP12" s="1548" t="str">
        <f t="shared" si="0"/>
        <v>Добавить схему подключения</v>
      </c>
      <c r="AQ12" s="1548"/>
      <c r="AR12" s="1548"/>
      <c r="AS12" s="1555">
        <v>0</v>
      </c>
    </row>
    <row r="13" spans="1:45" s="1566" customFormat="1" ht="0.75" hidden="1" customHeight="1">
      <c r="A13" s="1298"/>
      <c r="B13" s="1298"/>
      <c r="C13" s="1298"/>
      <c r="D13" s="1298"/>
      <c r="E13" s="4060"/>
      <c r="F13" s="4060"/>
      <c r="G13" s="4059"/>
      <c r="H13" s="1298"/>
      <c r="I13" s="1298"/>
      <c r="J13" s="1298"/>
      <c r="K13" s="1298"/>
      <c r="L13" s="1301"/>
      <c r="M13" s="1302"/>
      <c r="N13" s="1302"/>
      <c r="O13" s="285"/>
      <c r="P13" s="1240"/>
      <c r="Q13" s="1241"/>
      <c r="R13" s="1240"/>
      <c r="S13" s="1242"/>
      <c r="T13" s="1243" t="s">
        <v>235</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298"/>
      <c r="B14" s="1298"/>
      <c r="C14" s="1298"/>
      <c r="D14" s="1298"/>
      <c r="E14" s="4060"/>
      <c r="F14" s="4059"/>
      <c r="G14" s="1298"/>
      <c r="H14" s="1298"/>
      <c r="I14" s="1298"/>
      <c r="J14" s="1298"/>
      <c r="K14" s="1298"/>
      <c r="L14" s="1301"/>
      <c r="M14" s="1303"/>
      <c r="N14" s="1303"/>
      <c r="O14" s="285"/>
      <c r="P14" s="1240"/>
      <c r="Q14" s="1241"/>
      <c r="R14" s="1240"/>
      <c r="S14" s="1246"/>
      <c r="T14" s="1247" t="s">
        <v>236</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298"/>
      <c r="B15" s="1298"/>
      <c r="C15" s="1298"/>
      <c r="D15" s="1298"/>
      <c r="E15" s="4059"/>
      <c r="F15" s="1298"/>
      <c r="G15" s="1298"/>
      <c r="H15" s="1298"/>
      <c r="I15" s="1298"/>
      <c r="J15" s="1298"/>
      <c r="K15" s="1298"/>
      <c r="L15" s="1301"/>
      <c r="M15" s="1303"/>
      <c r="N15" s="1303"/>
      <c r="O15" s="285"/>
      <c r="P15" s="1240"/>
      <c r="Q15" s="1241"/>
      <c r="R15" s="1240"/>
      <c r="S15" s="1246"/>
      <c r="T15" s="1249" t="s">
        <v>286</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4031"/>
      <c r="AI17" s="4030" t="s">
        <v>53</v>
      </c>
      <c r="AJ17" s="4031"/>
      <c r="AK17" s="4030" t="s">
        <v>53</v>
      </c>
      <c r="AS17" s="1555">
        <v>0</v>
      </c>
    </row>
    <row r="18" spans="1:45" ht="14.25" hidden="1" customHeight="1">
      <c r="AD18" s="1284"/>
      <c r="AE18" s="1284"/>
      <c r="AF18" s="1284"/>
      <c r="AG18" s="263" t="str">
        <f>AH17&amp;"-"&amp;AJ17</f>
        <v>-</v>
      </c>
      <c r="AH18" s="4030"/>
      <c r="AI18" s="4030"/>
      <c r="AJ18" s="4030"/>
      <c r="AK18" s="4030"/>
      <c r="AS18" s="1555">
        <v>0</v>
      </c>
    </row>
    <row r="19" spans="1:45" ht="14.25" hidden="1" customHeight="1">
      <c r="AS19" s="1555">
        <v>0</v>
      </c>
    </row>
    <row r="20" spans="1:45" s="1290" customFormat="1" ht="14.25" hidden="1" customHeight="1">
      <c r="A20" s="1555"/>
      <c r="B20" s="1555"/>
      <c r="C20" s="1555"/>
      <c r="D20" s="1555"/>
      <c r="E20" s="1555"/>
      <c r="F20" s="1555"/>
      <c r="G20" s="1555"/>
      <c r="H20" s="1555"/>
      <c r="I20" s="1555"/>
      <c r="J20" s="1555"/>
      <c r="K20" s="1555"/>
      <c r="L20" s="1831"/>
      <c r="M20" s="1857"/>
      <c r="N20" s="1857"/>
      <c r="O20" s="1269" t="s">
        <v>622</v>
      </c>
      <c r="P20" s="1286"/>
      <c r="Q20" s="1295"/>
      <c r="R20" s="1295"/>
      <c r="S20" s="663"/>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31"/>
      <c r="M21" s="1857"/>
      <c r="N21" s="1857"/>
      <c r="O21" s="1857"/>
      <c r="P21" s="1286"/>
      <c r="Q21" s="1295"/>
      <c r="R21" s="1295"/>
      <c r="S21" s="663"/>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31"/>
      <c r="M22" s="1857"/>
      <c r="N22" s="1857"/>
      <c r="O22" s="1234" t="s">
        <v>623</v>
      </c>
      <c r="P22" s="1286"/>
      <c r="Q22" s="1295"/>
      <c r="R22" s="1295"/>
      <c r="S22" s="663"/>
      <c r="T22" s="1290" t="s">
        <v>624</v>
      </c>
      <c r="AA22" s="529" t="s">
        <v>625</v>
      </c>
      <c r="AC22" s="529" t="s">
        <v>626</v>
      </c>
      <c r="AD22" s="1290" t="s">
        <v>624</v>
      </c>
      <c r="AI22" s="529" t="s">
        <v>627</v>
      </c>
      <c r="AK22" s="529" t="s">
        <v>626</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0"/>
      <c r="R25" s="310"/>
      <c r="S25" s="1199"/>
      <c r="T25" s="391"/>
      <c r="U25" s="391"/>
      <c r="AS25" s="1555">
        <v>14</v>
      </c>
    </row>
    <row r="26" spans="1:45" ht="14.65" customHeight="1">
      <c r="Q26" s="310"/>
      <c r="R26" s="310"/>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67"/>
      <c r="AS26" s="1555">
        <v>14</v>
      </c>
    </row>
    <row r="27" spans="1:45" ht="14.65" customHeight="1">
      <c r="Q27" s="310"/>
      <c r="R27" s="310"/>
      <c r="S27" s="3987" t="str">
        <f>IF(org=0,"Не определено",org)</f>
        <v>ООО "Смоленскрегионтеплоэнерго"</v>
      </c>
      <c r="T27" s="3987"/>
      <c r="U27" s="3987"/>
      <c r="V27" s="3987"/>
      <c r="W27" s="3987"/>
      <c r="X27" s="3987"/>
      <c r="Y27" s="3987"/>
      <c r="Z27" s="3987"/>
      <c r="AA27" s="3987"/>
      <c r="AB27" s="3987"/>
      <c r="AC27" s="3987"/>
      <c r="AD27" s="3987"/>
      <c r="AE27" s="3987"/>
      <c r="AF27" s="3987"/>
      <c r="AG27" s="3987"/>
      <c r="AH27" s="3987"/>
      <c r="AI27" s="3987"/>
      <c r="AJ27" s="3987"/>
      <c r="AK27" s="1167"/>
      <c r="AS27" s="1555">
        <v>14</v>
      </c>
    </row>
    <row r="28" spans="1:45" ht="14.25" hidden="1" customHeight="1">
      <c r="Q28" s="310"/>
      <c r="R28" s="310"/>
      <c r="S28" s="1199"/>
      <c r="T28" s="391"/>
      <c r="U28" s="391"/>
      <c r="V28" s="257"/>
      <c r="W28" s="257"/>
      <c r="X28" s="257"/>
      <c r="Y28" s="257"/>
      <c r="Z28" s="257"/>
      <c r="AA28" s="257"/>
      <c r="AB28" s="257"/>
      <c r="AC28" s="257"/>
      <c r="AD28" s="257"/>
      <c r="AE28" s="257"/>
      <c r="AF28" s="257"/>
      <c r="AG28" s="257"/>
      <c r="AH28" s="257"/>
      <c r="AI28" s="257"/>
      <c r="AJ28" s="257"/>
      <c r="AK28" s="257"/>
      <c r="AS28" s="1555">
        <v>0</v>
      </c>
    </row>
    <row r="29" spans="1:45" s="1748" customFormat="1" ht="25.5" hidden="1" customHeight="1">
      <c r="A29" s="1172"/>
      <c r="B29" s="1172"/>
      <c r="C29" s="1172"/>
      <c r="D29" s="1172"/>
      <c r="E29" s="1172"/>
      <c r="F29" s="1172"/>
      <c r="G29" s="1172"/>
      <c r="H29" s="1172"/>
      <c r="I29" s="1172"/>
      <c r="J29" s="1172"/>
      <c r="K29" s="1172"/>
      <c r="L29" s="1304"/>
      <c r="M29" s="1172"/>
      <c r="N29" s="1172"/>
      <c r="O29" s="1172"/>
      <c r="S29" s="4024" t="s">
        <v>29</v>
      </c>
      <c r="T29" s="4024"/>
      <c r="U29" s="1296"/>
      <c r="V29" s="4026" t="str">
        <f>IF(TITLE_NAME_OR_PR_CHANGE="",IF(TITLE_NAME_OR_PR="","",TITLE_NAME_OR_PR),TITLE_NAME_OR_PR_CHANGE)</f>
        <v/>
      </c>
      <c r="W29" s="4026"/>
      <c r="X29" s="4026"/>
      <c r="Y29" s="4026"/>
      <c r="Z29" s="4026"/>
      <c r="AA29" s="4026"/>
      <c r="AB29" s="4026"/>
      <c r="AC29" s="1559"/>
      <c r="AD29" s="4026" t="str">
        <f>IF(TITLE_NAME_OR_PR_CHANGE="",IF(TITLE_NAME_OR_PR="","",TITLE_NAME_OR_PR),TITLE_NAME_OR_PR_CHANGE)</f>
        <v/>
      </c>
      <c r="AE29" s="4026"/>
      <c r="AF29" s="4026"/>
      <c r="AG29" s="4026"/>
      <c r="AH29" s="4026"/>
      <c r="AI29" s="4026"/>
      <c r="AJ29" s="4026"/>
      <c r="AK29" s="1559"/>
      <c r="AL29" s="1559"/>
      <c r="AM29" s="215"/>
      <c r="AN29" s="302"/>
      <c r="AO29" s="302"/>
      <c r="AP29" s="302"/>
      <c r="AQ29" s="302"/>
      <c r="AR29" s="302"/>
      <c r="AS29" s="352">
        <v>0</v>
      </c>
    </row>
    <row r="30" spans="1:45" s="1748" customFormat="1" ht="18.75" hidden="1" customHeight="1">
      <c r="A30" s="1172"/>
      <c r="B30" s="1172"/>
      <c r="C30" s="1172"/>
      <c r="D30" s="1172"/>
      <c r="E30" s="1172"/>
      <c r="F30" s="1172"/>
      <c r="G30" s="1172"/>
      <c r="H30" s="1172"/>
      <c r="I30" s="1172"/>
      <c r="J30" s="1172"/>
      <c r="K30" s="1172"/>
      <c r="L30" s="1304"/>
      <c r="M30" s="1172"/>
      <c r="N30" s="1172"/>
      <c r="O30" s="1172"/>
      <c r="S30" s="4024" t="s">
        <v>628</v>
      </c>
      <c r="T30" s="4024"/>
      <c r="U30" s="1296"/>
      <c r="V30" s="4025">
        <f>IF(TITLE_DATE_PR_CHANGE="",IF(TITLE_DATE_PR="","",TITLE_DATE_PR),TITLE_DATE_PR_CHANGE)</f>
        <v>45765</v>
      </c>
      <c r="W30" s="4025"/>
      <c r="X30" s="4025"/>
      <c r="Y30" s="4025"/>
      <c r="Z30" s="4025"/>
      <c r="AA30" s="4025"/>
      <c r="AB30" s="4025"/>
      <c r="AC30" s="1559"/>
      <c r="AD30" s="4025">
        <f>IF(TITLE_DATE_PR_CHANGE="",IF(TITLE_DATE_PR="","",TITLE_DATE_PR),TITLE_DATE_PR_CHANGE)</f>
        <v>45765</v>
      </c>
      <c r="AE30" s="4025"/>
      <c r="AF30" s="4025"/>
      <c r="AG30" s="4025"/>
      <c r="AH30" s="4025"/>
      <c r="AI30" s="4025"/>
      <c r="AJ30" s="4025"/>
      <c r="AK30" s="1559"/>
      <c r="AL30" s="1559"/>
      <c r="AM30" s="215"/>
      <c r="AN30" s="302"/>
      <c r="AO30" s="302"/>
      <c r="AP30" s="302"/>
      <c r="AQ30" s="302"/>
      <c r="AR30" s="302"/>
      <c r="AS30" s="352">
        <v>0</v>
      </c>
    </row>
    <row r="31" spans="1:45" s="1748" customFormat="1" ht="18.75" hidden="1" customHeight="1">
      <c r="A31" s="1172"/>
      <c r="B31" s="1172"/>
      <c r="C31" s="1172"/>
      <c r="D31" s="1172"/>
      <c r="E31" s="1172"/>
      <c r="F31" s="1172"/>
      <c r="G31" s="1172"/>
      <c r="H31" s="1172"/>
      <c r="I31" s="1172"/>
      <c r="J31" s="1172"/>
      <c r="K31" s="1172"/>
      <c r="L31" s="1304"/>
      <c r="M31" s="1172"/>
      <c r="N31" s="1172"/>
      <c r="O31" s="1172"/>
      <c r="S31" s="4024" t="s">
        <v>629</v>
      </c>
      <c r="T31" s="4024"/>
      <c r="U31" s="1296"/>
      <c r="V31" s="4026" t="str">
        <f>IF(TITLE_NUMBER_PR_CHANGE="",IF(TITLE_NUMBER_PR="","",TITLE_NUMBER_PR),TITLE_NUMBER_PR_CHANGE)</f>
        <v>917</v>
      </c>
      <c r="W31" s="4026"/>
      <c r="X31" s="4026"/>
      <c r="Y31" s="4026"/>
      <c r="Z31" s="4026"/>
      <c r="AA31" s="4026"/>
      <c r="AB31" s="4026"/>
      <c r="AC31" s="1559"/>
      <c r="AD31" s="4026" t="str">
        <f>IF(TITLE_NUMBER_PR_CHANGE="",IF(TITLE_NUMBER_PR="","",TITLE_NUMBER_PR),TITLE_NUMBER_PR_CHANGE)</f>
        <v>917</v>
      </c>
      <c r="AE31" s="4026"/>
      <c r="AF31" s="4026"/>
      <c r="AG31" s="4026"/>
      <c r="AH31" s="4026"/>
      <c r="AI31" s="4026"/>
      <c r="AJ31" s="4026"/>
      <c r="AK31" s="1559"/>
      <c r="AL31" s="1559"/>
      <c r="AM31" s="215"/>
      <c r="AN31" s="302"/>
      <c r="AO31" s="302"/>
      <c r="AP31" s="302"/>
      <c r="AQ31" s="302"/>
      <c r="AR31" s="302"/>
      <c r="AS31" s="352">
        <v>0</v>
      </c>
    </row>
    <row r="32" spans="1:45" s="1748" customFormat="1" ht="18.75" hidden="1" customHeight="1">
      <c r="A32" s="1172"/>
      <c r="B32" s="1172"/>
      <c r="C32" s="1172"/>
      <c r="D32" s="1172"/>
      <c r="E32" s="1172"/>
      <c r="F32" s="1172"/>
      <c r="G32" s="1172"/>
      <c r="H32" s="1172"/>
      <c r="I32" s="1172"/>
      <c r="J32" s="1172"/>
      <c r="K32" s="1172"/>
      <c r="L32" s="1304"/>
      <c r="M32" s="1172"/>
      <c r="N32" s="1172"/>
      <c r="O32" s="1172"/>
      <c r="S32" s="4024" t="s">
        <v>30</v>
      </c>
      <c r="T32" s="4024"/>
      <c r="U32" s="1296"/>
      <c r="V32" s="4026" t="str">
        <f>IF(TITLE_IST_PUB_CHANGE="",IF(TITLE_IST_PUB="","",TITLE_IST_PUB),TITLE_IST_PUB_CHANGE)</f>
        <v/>
      </c>
      <c r="W32" s="4026"/>
      <c r="X32" s="4026"/>
      <c r="Y32" s="4026"/>
      <c r="Z32" s="4026"/>
      <c r="AA32" s="4026"/>
      <c r="AB32" s="4026"/>
      <c r="AC32" s="1559"/>
      <c r="AD32" s="4026" t="str">
        <f>IF(TITLE_IST_PUB_CHANGE="",IF(TITLE_IST_PUB="","",TITLE_IST_PUB),TITLE_IST_PUB_CHANGE)</f>
        <v/>
      </c>
      <c r="AE32" s="4026"/>
      <c r="AF32" s="4026"/>
      <c r="AG32" s="4026"/>
      <c r="AH32" s="4026"/>
      <c r="AI32" s="4026"/>
      <c r="AJ32" s="4026"/>
      <c r="AK32" s="1559"/>
      <c r="AL32" s="1559"/>
      <c r="AM32" s="215"/>
      <c r="AN32" s="302"/>
      <c r="AO32" s="302"/>
      <c r="AP32" s="302"/>
      <c r="AQ32" s="302"/>
      <c r="AR32" s="302"/>
      <c r="AS32" s="352">
        <v>0</v>
      </c>
    </row>
    <row r="33" spans="1:45" ht="14.25" hidden="1" customHeight="1">
      <c r="Q33" s="310"/>
      <c r="R33" s="310"/>
      <c r="S33" s="1199"/>
      <c r="T33" s="391"/>
      <c r="U33" s="391"/>
      <c r="V33" s="257"/>
      <c r="W33" s="257"/>
      <c r="X33" s="257"/>
      <c r="Y33" s="257"/>
      <c r="Z33" s="257"/>
      <c r="AA33" s="257"/>
      <c r="AB33" s="257"/>
      <c r="AC33" s="257"/>
      <c r="AD33" s="257"/>
      <c r="AE33" s="257"/>
      <c r="AF33" s="257"/>
      <c r="AG33" s="257"/>
      <c r="AH33" s="257"/>
      <c r="AI33" s="257"/>
      <c r="AJ33" s="257"/>
      <c r="AK33" s="257"/>
      <c r="AS33" s="1555">
        <v>0</v>
      </c>
    </row>
    <row r="34" spans="1:45" s="1748" customFormat="1" ht="18.75" hidden="1" customHeight="1">
      <c r="A34" s="1172"/>
      <c r="B34" s="1172"/>
      <c r="C34" s="1172"/>
      <c r="D34" s="1172"/>
      <c r="E34" s="1172"/>
      <c r="F34" s="1172"/>
      <c r="G34" s="1172"/>
      <c r="H34" s="1172"/>
      <c r="I34" s="1172"/>
      <c r="J34" s="1172"/>
      <c r="K34" s="1172"/>
      <c r="L34" s="1304"/>
      <c r="M34" s="1172"/>
      <c r="N34" s="1172"/>
      <c r="O34" s="1172"/>
      <c r="S34" s="4024" t="s">
        <v>630</v>
      </c>
      <c r="T34" s="4024"/>
      <c r="U34" s="1296"/>
      <c r="V34" s="4025">
        <f>IF(TITLE_DATE_PR_CHANGE="",IF(TITLE_DATE_PR="","",TITLE_DATE_PR),TITLE_DATE_PR_CHANGE)</f>
        <v>45765</v>
      </c>
      <c r="W34" s="4025"/>
      <c r="X34" s="4025"/>
      <c r="Y34" s="4025"/>
      <c r="Z34" s="4025"/>
      <c r="AA34" s="4025"/>
      <c r="AB34" s="4025"/>
      <c r="AC34" s="1559"/>
      <c r="AD34" s="4025">
        <f>IF(TITLE_DATE_PR_CHANGE="",IF(TITLE_DATE_PR="","",TITLE_DATE_PR),TITLE_DATE_PR_CHANGE)</f>
        <v>45765</v>
      </c>
      <c r="AE34" s="4025"/>
      <c r="AF34" s="4025"/>
      <c r="AG34" s="4025"/>
      <c r="AH34" s="4025"/>
      <c r="AI34" s="4025"/>
      <c r="AJ34" s="4025"/>
      <c r="AK34" s="1559"/>
      <c r="AL34" s="1559"/>
      <c r="AM34" s="215"/>
      <c r="AN34" s="302"/>
      <c r="AO34" s="302"/>
      <c r="AP34" s="302"/>
      <c r="AQ34" s="302"/>
      <c r="AR34" s="302"/>
      <c r="AS34" s="352">
        <v>0</v>
      </c>
    </row>
    <row r="35" spans="1:45" s="1748" customFormat="1" ht="18.75" hidden="1" customHeight="1">
      <c r="A35" s="1172"/>
      <c r="B35" s="1172"/>
      <c r="C35" s="1172"/>
      <c r="D35" s="1172"/>
      <c r="E35" s="1172"/>
      <c r="F35" s="1172"/>
      <c r="G35" s="1172"/>
      <c r="H35" s="1172"/>
      <c r="I35" s="1172"/>
      <c r="J35" s="1172"/>
      <c r="K35" s="1172"/>
      <c r="L35" s="1304"/>
      <c r="M35" s="1172"/>
      <c r="N35" s="1172"/>
      <c r="O35" s="1172"/>
      <c r="S35" s="4024" t="s">
        <v>631</v>
      </c>
      <c r="T35" s="4024"/>
      <c r="U35" s="1296"/>
      <c r="V35" s="4026" t="str">
        <f>IF(TITLE_NUMBER_PR_CHANGE="",IF(TITLE_NUMBER_PR="","",TITLE_NUMBER_PR),TITLE_NUMBER_PR_CHANGE)</f>
        <v>917</v>
      </c>
      <c r="W35" s="4026"/>
      <c r="X35" s="4026"/>
      <c r="Y35" s="4026"/>
      <c r="Z35" s="4026"/>
      <c r="AA35" s="4026"/>
      <c r="AB35" s="4026"/>
      <c r="AC35" s="1559"/>
      <c r="AD35" s="4026" t="str">
        <f>IF(TITLE_NUMBER_PR_CHANGE="",IF(TITLE_NUMBER_PR="","",TITLE_NUMBER_PR),TITLE_NUMBER_PR_CHANGE)</f>
        <v>917</v>
      </c>
      <c r="AE35" s="4026"/>
      <c r="AF35" s="4026"/>
      <c r="AG35" s="4026"/>
      <c r="AH35" s="4026"/>
      <c r="AI35" s="4026"/>
      <c r="AJ35" s="4026"/>
      <c r="AK35" s="1559"/>
      <c r="AL35" s="1559"/>
      <c r="AM35" s="215"/>
      <c r="AN35" s="302"/>
      <c r="AO35" s="302"/>
      <c r="AP35" s="302"/>
      <c r="AQ35" s="302"/>
      <c r="AR35" s="302"/>
      <c r="AS35" s="352">
        <v>0</v>
      </c>
    </row>
    <row r="36" spans="1:45" s="1748" customFormat="1" ht="0" hidden="1" customHeight="1">
      <c r="A36" s="1172"/>
      <c r="B36" s="1172"/>
      <c r="C36" s="1172"/>
      <c r="D36" s="1172"/>
      <c r="E36" s="1172"/>
      <c r="F36" s="1172"/>
      <c r="G36" s="1172"/>
      <c r="H36" s="1172"/>
      <c r="I36" s="1172"/>
      <c r="J36" s="1172"/>
      <c r="K36" s="1172"/>
      <c r="L36" s="1304"/>
      <c r="M36" s="1172"/>
      <c r="N36" s="1172"/>
      <c r="O36" s="1172"/>
      <c r="S36" s="1559"/>
      <c r="T36" s="1559"/>
      <c r="U36" s="1862"/>
      <c r="V36" s="1559"/>
      <c r="W36" s="1559"/>
      <c r="X36" s="1559"/>
      <c r="Y36" s="1559"/>
      <c r="Z36" s="1559"/>
      <c r="AA36" s="1559"/>
      <c r="AB36" s="1559"/>
      <c r="AC36" s="1566" t="s">
        <v>632</v>
      </c>
      <c r="AD36" s="1559"/>
      <c r="AE36" s="1559"/>
      <c r="AF36" s="1559"/>
      <c r="AG36" s="1559"/>
      <c r="AH36" s="1559"/>
      <c r="AI36" s="1559"/>
      <c r="AJ36" s="1559"/>
      <c r="AK36" s="1566" t="s">
        <v>632</v>
      </c>
      <c r="AN36" s="302"/>
      <c r="AO36" s="302"/>
      <c r="AP36" s="302"/>
      <c r="AQ36" s="302"/>
      <c r="AR36" s="302"/>
      <c r="AS36" s="352">
        <v>0</v>
      </c>
    </row>
    <row r="37" spans="1:45" ht="14.65" customHeight="1">
      <c r="Q37" s="310"/>
      <c r="R37" s="310"/>
      <c r="S37" s="1199"/>
      <c r="T37" s="391"/>
      <c r="U37" s="1168"/>
      <c r="V37" s="4045"/>
      <c r="W37" s="4045"/>
      <c r="X37" s="4045"/>
      <c r="Y37" s="4045"/>
      <c r="Z37" s="4045"/>
      <c r="AA37" s="4045"/>
      <c r="AB37" s="4045"/>
      <c r="AC37" s="4045"/>
      <c r="AD37" s="4045"/>
      <c r="AE37" s="4045"/>
      <c r="AF37" s="4045"/>
      <c r="AG37" s="4045"/>
      <c r="AH37" s="4045"/>
      <c r="AI37" s="4045"/>
      <c r="AJ37" s="4045"/>
      <c r="AK37" s="4045"/>
      <c r="AS37" s="1555">
        <v>14</v>
      </c>
    </row>
    <row r="38" spans="1:45" ht="14.65" customHeight="1">
      <c r="Q38" s="310"/>
      <c r="R38" s="310"/>
      <c r="S38" s="3889" t="s">
        <v>508</v>
      </c>
      <c r="T38" s="3889"/>
      <c r="U38" s="3889"/>
      <c r="V38" s="3889"/>
      <c r="W38" s="3889"/>
      <c r="X38" s="3889"/>
      <c r="Y38" s="3889"/>
      <c r="Z38" s="3889"/>
      <c r="AA38" s="3889"/>
      <c r="AB38" s="3889"/>
      <c r="AC38" s="3889"/>
      <c r="AD38" s="3889"/>
      <c r="AE38" s="3889"/>
      <c r="AF38" s="3889"/>
      <c r="AG38" s="3889"/>
      <c r="AH38" s="3889"/>
      <c r="AI38" s="3889"/>
      <c r="AJ38" s="3889"/>
      <c r="AK38" s="3889"/>
      <c r="AL38" s="3889"/>
      <c r="AM38" s="3889" t="s">
        <v>509</v>
      </c>
      <c r="AS38" s="1555">
        <v>14</v>
      </c>
    </row>
    <row r="39" spans="1:45" ht="14.65" customHeight="1">
      <c r="Q39" s="310"/>
      <c r="R39" s="310"/>
      <c r="S39" s="4046" t="s">
        <v>75</v>
      </c>
      <c r="T39" s="3995" t="s">
        <v>633</v>
      </c>
      <c r="U39" s="272"/>
      <c r="V39" s="4047" t="s">
        <v>634</v>
      </c>
      <c r="W39" s="4048"/>
      <c r="X39" s="4048"/>
      <c r="Y39" s="4048"/>
      <c r="Z39" s="4048"/>
      <c r="AA39" s="4048"/>
      <c r="AB39" s="4049"/>
      <c r="AC39" s="4050" t="s">
        <v>635</v>
      </c>
      <c r="AD39" s="4047" t="s">
        <v>634</v>
      </c>
      <c r="AE39" s="4048"/>
      <c r="AF39" s="4048"/>
      <c r="AG39" s="4048"/>
      <c r="AH39" s="4048"/>
      <c r="AI39" s="4048"/>
      <c r="AJ39" s="4049"/>
      <c r="AK39" s="4050" t="s">
        <v>636</v>
      </c>
      <c r="AL39" s="4053" t="s">
        <v>637</v>
      </c>
      <c r="AM39" s="3889"/>
      <c r="AS39" s="1555">
        <v>14</v>
      </c>
    </row>
    <row r="40" spans="1:45" ht="35.65" customHeight="1">
      <c r="Q40" s="310"/>
      <c r="R40" s="310"/>
      <c r="S40" s="4046"/>
      <c r="T40" s="3995"/>
      <c r="U40" s="958"/>
      <c r="V40" s="3967" t="s">
        <v>638</v>
      </c>
      <c r="W40" s="4042" t="s">
        <v>639</v>
      </c>
      <c r="X40" s="3870" t="s">
        <v>640</v>
      </c>
      <c r="Y40" s="3869"/>
      <c r="Z40" s="3870" t="s">
        <v>653</v>
      </c>
      <c r="AA40" s="3875"/>
      <c r="AB40" s="3869"/>
      <c r="AC40" s="4051"/>
      <c r="AD40" s="3967" t="s">
        <v>638</v>
      </c>
      <c r="AE40" s="4042" t="s">
        <v>639</v>
      </c>
      <c r="AF40" s="3870" t="s">
        <v>640</v>
      </c>
      <c r="AG40" s="3869"/>
      <c r="AH40" s="3870" t="s">
        <v>641</v>
      </c>
      <c r="AI40" s="3875"/>
      <c r="AJ40" s="3869"/>
      <c r="AK40" s="4051"/>
      <c r="AL40" s="4054"/>
      <c r="AM40" s="3889"/>
      <c r="AS40" s="1555">
        <v>34</v>
      </c>
    </row>
    <row r="41" spans="1:45" ht="35.65" customHeight="1">
      <c r="A41" s="1190"/>
      <c r="B41" s="1190" t="s">
        <v>207</v>
      </c>
      <c r="C41" s="1190" t="s">
        <v>208</v>
      </c>
      <c r="D41" s="1190" t="s">
        <v>209</v>
      </c>
      <c r="E41" s="1234" t="s">
        <v>642</v>
      </c>
      <c r="F41" s="1234" t="s">
        <v>643</v>
      </c>
      <c r="G41" s="1234" t="s">
        <v>644</v>
      </c>
      <c r="H41" s="1234" t="s">
        <v>645</v>
      </c>
      <c r="I41" s="1234" t="s">
        <v>646</v>
      </c>
      <c r="J41" s="1234" t="s">
        <v>647</v>
      </c>
      <c r="K41" s="1234" t="s">
        <v>648</v>
      </c>
      <c r="L41" s="1234" t="s">
        <v>623</v>
      </c>
      <c r="Q41" s="310"/>
      <c r="R41" s="310"/>
      <c r="S41" s="4046"/>
      <c r="T41" s="3995"/>
      <c r="U41" s="237"/>
      <c r="V41" s="4019"/>
      <c r="W41" s="4043"/>
      <c r="X41" s="1830" t="s">
        <v>649</v>
      </c>
      <c r="Y41" s="1830" t="s">
        <v>650</v>
      </c>
      <c r="Z41" s="1830" t="s">
        <v>651</v>
      </c>
      <c r="AA41" s="4000" t="s">
        <v>652</v>
      </c>
      <c r="AB41" s="4013"/>
      <c r="AC41" s="4052"/>
      <c r="AD41" s="4019"/>
      <c r="AE41" s="4043"/>
      <c r="AF41" s="1830" t="s">
        <v>649</v>
      </c>
      <c r="AG41" s="1830" t="s">
        <v>650</v>
      </c>
      <c r="AH41" s="1830" t="s">
        <v>651</v>
      </c>
      <c r="AI41" s="4000" t="s">
        <v>652</v>
      </c>
      <c r="AJ41" s="4013"/>
      <c r="AK41" s="4052"/>
      <c r="AL41" s="4055"/>
      <c r="AM41" s="3889"/>
      <c r="AS41" s="1555">
        <v>34</v>
      </c>
    </row>
    <row r="42" spans="1:45" s="1565" customFormat="1" ht="11.25" hidden="1" customHeight="1">
      <c r="A42" s="1190"/>
      <c r="B42" s="1190"/>
      <c r="C42" s="1190"/>
      <c r="D42" s="1190"/>
      <c r="E42" s="1190"/>
      <c r="F42" s="1190"/>
      <c r="G42" s="1190"/>
      <c r="H42" s="1190"/>
      <c r="I42" s="1190"/>
      <c r="J42" s="1190"/>
      <c r="K42" s="1190"/>
      <c r="L42" s="1234"/>
      <c r="M42" s="1857"/>
      <c r="N42" s="1857"/>
      <c r="O42" s="1857"/>
      <c r="P42" s="1170"/>
      <c r="Q42" s="1171"/>
      <c r="R42" s="1178">
        <v>1</v>
      </c>
      <c r="S42" s="1201" t="s">
        <v>184</v>
      </c>
      <c r="T42" s="1179" t="s">
        <v>89</v>
      </c>
      <c r="U42" s="1169" t="str">
        <f ca="1">OFFSET(U42,0,-1)</f>
        <v>2</v>
      </c>
      <c r="V42" s="1848">
        <f ca="1">OFFSET(V42,0,-1)+1</f>
        <v>3</v>
      </c>
      <c r="W42" s="1848"/>
      <c r="X42" s="1848">
        <f ca="1">OFFSET(X42,0,-1)+1</f>
        <v>1</v>
      </c>
      <c r="Y42" s="1848">
        <f ca="1">OFFSET(Y42,0,-1)+1</f>
        <v>2</v>
      </c>
      <c r="Z42" s="1848">
        <f ca="1">OFFSET(Z42,0,-1)+1</f>
        <v>3</v>
      </c>
      <c r="AA42" s="4044">
        <f ca="1">OFFSET(AA42,0,-1)+1</f>
        <v>4</v>
      </c>
      <c r="AB42" s="4044"/>
      <c r="AC42" s="1848">
        <f ca="1">OFFSET(AC42,0,-2)+1</f>
        <v>5</v>
      </c>
      <c r="AD42" s="1848">
        <f ca="1">OFFSET(AD42,0,-1)+1</f>
        <v>6</v>
      </c>
      <c r="AE42" s="1848"/>
      <c r="AF42" s="1848">
        <f ca="1">OFFSET(AF42,0,-1)+1</f>
        <v>1</v>
      </c>
      <c r="AG42" s="1848">
        <f ca="1">OFFSET(AG42,0,-1)+1</f>
        <v>2</v>
      </c>
      <c r="AH42" s="1848">
        <f ca="1">OFFSET(AH42,0,-1)+1</f>
        <v>3</v>
      </c>
      <c r="AI42" s="4044">
        <f ca="1">OFFSET(AI42,0,-1)+1</f>
        <v>4</v>
      </c>
      <c r="AJ42" s="4044"/>
      <c r="AK42" s="1848">
        <f ca="1">OFFSET(AK42,0,-2)+1</f>
        <v>5</v>
      </c>
      <c r="AL42" s="1169">
        <f ca="1">OFFSET(AL42,0,-1)</f>
        <v>5</v>
      </c>
      <c r="AM42" s="1848">
        <f ca="1">OFFSET(AM42,0,-1)+1</f>
        <v>6</v>
      </c>
      <c r="AN42" s="1560"/>
      <c r="AO42" s="1560"/>
      <c r="AP42" s="1560"/>
      <c r="AQ42" s="1560"/>
      <c r="AR42" s="1560"/>
      <c r="AS42" s="1565">
        <v>0</v>
      </c>
    </row>
    <row r="43" spans="1:45" ht="21.95" customHeight="1">
      <c r="A43" s="1191" t="s">
        <v>420</v>
      </c>
      <c r="B43" s="1191"/>
      <c r="C43" s="1191"/>
      <c r="D43" s="1191"/>
      <c r="E43" s="4059">
        <v>1</v>
      </c>
      <c r="F43" s="1191"/>
      <c r="G43" s="1191"/>
      <c r="H43" s="1191"/>
      <c r="I43" s="1191"/>
      <c r="J43" s="1191"/>
      <c r="K43" s="1191"/>
      <c r="L43" s="1234"/>
      <c r="M43" s="1534"/>
      <c r="N43" s="1534"/>
      <c r="O43" s="1534"/>
      <c r="P43" s="1514"/>
      <c r="Q43" s="294"/>
      <c r="R43" s="289"/>
      <c r="S43" s="1850">
        <f>INDEX(PT_DIFFERENTIATION_NUM_NTAR,MATCH(A43,PT_DIFFERENTIATION_NTAR_ID,0))</f>
        <v>0</v>
      </c>
      <c r="T43" s="1449" t="s">
        <v>195</v>
      </c>
      <c r="U43" s="235"/>
      <c r="V43" s="4027"/>
      <c r="W43" s="4028"/>
      <c r="X43" s="4028"/>
      <c r="Y43" s="4028"/>
      <c r="Z43" s="4028"/>
      <c r="AA43" s="4028"/>
      <c r="AB43" s="4028"/>
      <c r="AC43" s="4029"/>
      <c r="AD43" s="4027" t="str">
        <f>INDEX(PT_DIFFERENTIATION_NTAR,MATCH(A43,PT_DIFFERENTIATION_NTAR_ID,0))</f>
        <v/>
      </c>
      <c r="AE43" s="4028"/>
      <c r="AF43" s="4028"/>
      <c r="AG43" s="4028"/>
      <c r="AH43" s="4028"/>
      <c r="AI43" s="4028"/>
      <c r="AJ43" s="4028"/>
      <c r="AK43" s="4028"/>
      <c r="AL43" s="4029"/>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420</v>
      </c>
      <c r="B44" s="1191" t="s">
        <v>421</v>
      </c>
      <c r="C44" s="1191"/>
      <c r="D44" s="1191"/>
      <c r="E44" s="4060"/>
      <c r="F44" s="4059">
        <v>1</v>
      </c>
      <c r="G44" s="1191"/>
      <c r="H44" s="1191"/>
      <c r="I44" s="1191"/>
      <c r="J44" s="1191"/>
      <c r="K44" s="1191"/>
      <c r="L44" s="1234"/>
      <c r="M44" s="1534"/>
      <c r="N44" s="1534"/>
      <c r="O44" s="1534"/>
      <c r="P44" s="1832"/>
      <c r="Q44" s="286"/>
      <c r="R44" s="287"/>
      <c r="S44" s="1850" t="str">
        <f>INDEX(PT_DIFFERENTIATION_NUM_TER,MATCH(B44,PT_DIFFERENTIATION_TER_ID,0))</f>
        <v>.</v>
      </c>
      <c r="T44" s="1446" t="s">
        <v>605</v>
      </c>
      <c r="U44" s="235"/>
      <c r="V44" s="4027"/>
      <c r="W44" s="4028"/>
      <c r="X44" s="4028"/>
      <c r="Y44" s="4028"/>
      <c r="Z44" s="4028"/>
      <c r="AA44" s="4028"/>
      <c r="AB44" s="4028"/>
      <c r="AC44" s="4029"/>
      <c r="AD44" s="4027" t="str">
        <f>INDEX(PT_DIFFERENTIATION_TER,MATCH(B44,PT_DIFFERENTIATION_TER_ID,0))</f>
        <v/>
      </c>
      <c r="AE44" s="4028"/>
      <c r="AF44" s="4028"/>
      <c r="AG44" s="4028"/>
      <c r="AH44" s="4028"/>
      <c r="AI44" s="4028"/>
      <c r="AJ44" s="4028"/>
      <c r="AK44" s="4028"/>
      <c r="AL44" s="4029"/>
      <c r="AM44" s="1182" t="s">
        <v>606</v>
      </c>
      <c r="AO44" s="1548"/>
      <c r="AP44" s="1548" t="str">
        <f t="shared" si="1"/>
        <v>Территория действия тарифа</v>
      </c>
      <c r="AQ44" s="1548"/>
      <c r="AR44" s="1548"/>
      <c r="AS44" s="1555">
        <v>21</v>
      </c>
    </row>
    <row r="45" spans="1:45" ht="24" customHeight="1">
      <c r="A45" s="1191" t="s">
        <v>420</v>
      </c>
      <c r="B45" s="1191" t="s">
        <v>421</v>
      </c>
      <c r="C45" s="1191" t="s">
        <v>422</v>
      </c>
      <c r="D45" s="1191"/>
      <c r="E45" s="4060"/>
      <c r="F45" s="4060"/>
      <c r="G45" s="4059">
        <v>1</v>
      </c>
      <c r="H45" s="1191"/>
      <c r="I45" s="1191"/>
      <c r="J45" s="1191"/>
      <c r="K45" s="1191"/>
      <c r="L45" s="1234"/>
      <c r="M45" s="1534"/>
      <c r="N45" s="1534"/>
      <c r="O45" s="1534"/>
      <c r="P45" s="288"/>
      <c r="Q45" s="286"/>
      <c r="R45" s="287"/>
      <c r="S45" s="1850" t="str">
        <f>INDEX(PT_DIFFERENTIATION_NUM_CS,MATCH(C45,PT_DIFFERENTIATION_CS_ID,0))</f>
        <v>..</v>
      </c>
      <c r="T45" s="244" t="s">
        <v>607</v>
      </c>
      <c r="U45" s="235"/>
      <c r="V45" s="4027"/>
      <c r="W45" s="4028"/>
      <c r="X45" s="4028"/>
      <c r="Y45" s="4028"/>
      <c r="Z45" s="4028"/>
      <c r="AA45" s="4028"/>
      <c r="AB45" s="4028"/>
      <c r="AC45" s="4029"/>
      <c r="AD45" s="4027" t="str">
        <f>INDEX(PT_DIFFERENTIATION_CS,MATCH(C45,PT_DIFFERENTIATION_CS_ID,0))</f>
        <v/>
      </c>
      <c r="AE45" s="4028"/>
      <c r="AF45" s="4028"/>
      <c r="AG45" s="4028"/>
      <c r="AH45" s="4028"/>
      <c r="AI45" s="4028"/>
      <c r="AJ45" s="4028"/>
      <c r="AK45" s="4028"/>
      <c r="AL45" s="4029"/>
      <c r="AM45" s="1182" t="s">
        <v>608</v>
      </c>
      <c r="AO45" s="1548"/>
      <c r="AP45" s="1548" t="str">
        <f t="shared" si="1"/>
        <v xml:space="preserve">Наименование системы теплоснабжения </v>
      </c>
      <c r="AQ45" s="1548"/>
      <c r="AR45" s="1548"/>
      <c r="AS45" s="1555">
        <v>23</v>
      </c>
    </row>
    <row r="46" spans="1:45" ht="21.95" customHeight="1">
      <c r="A46" s="1191" t="s">
        <v>420</v>
      </c>
      <c r="B46" s="1191" t="s">
        <v>421</v>
      </c>
      <c r="C46" s="1191" t="s">
        <v>422</v>
      </c>
      <c r="D46" s="1191" t="s">
        <v>423</v>
      </c>
      <c r="E46" s="4060"/>
      <c r="F46" s="4060"/>
      <c r="G46" s="4060"/>
      <c r="H46" s="4059">
        <v>1</v>
      </c>
      <c r="I46" s="1191"/>
      <c r="J46" s="1191"/>
      <c r="K46" s="1191"/>
      <c r="L46" s="1234"/>
      <c r="M46" s="1534"/>
      <c r="N46" s="1534"/>
      <c r="O46" s="1534"/>
      <c r="P46" s="288"/>
      <c r="Q46" s="286"/>
      <c r="R46" s="287"/>
      <c r="S46" s="1850" t="str">
        <f>INDEX(PT_DIFFERENTIATION_NUM_IST_TE,MATCH(D46,PT_DIFFERENTIATION_IST_TE_ID,0))</f>
        <v>...</v>
      </c>
      <c r="T46" s="245" t="s">
        <v>609</v>
      </c>
      <c r="U46" s="235"/>
      <c r="V46" s="4027"/>
      <c r="W46" s="4028"/>
      <c r="X46" s="4028"/>
      <c r="Y46" s="4028"/>
      <c r="Z46" s="4028"/>
      <c r="AA46" s="4028"/>
      <c r="AB46" s="4028"/>
      <c r="AC46" s="4029"/>
      <c r="AD46" s="4027" t="str">
        <f>INDEX(PT_DIFFERENTIATION_IST_TE,MATCH(D46,PT_DIFFERENTIATION_IST_TE_ID,0))</f>
        <v/>
      </c>
      <c r="AE46" s="4028"/>
      <c r="AF46" s="4028"/>
      <c r="AG46" s="4028"/>
      <c r="AH46" s="4028"/>
      <c r="AI46" s="4028"/>
      <c r="AJ46" s="4028"/>
      <c r="AK46" s="4028"/>
      <c r="AL46" s="4029"/>
      <c r="AM46" s="1182" t="s">
        <v>610</v>
      </c>
      <c r="AO46" s="1548"/>
      <c r="AP46" s="1548" t="str">
        <f t="shared" si="1"/>
        <v xml:space="preserve">Источник тепловой энергии  </v>
      </c>
      <c r="AQ46" s="1548"/>
      <c r="AR46" s="1548"/>
      <c r="AS46" s="1555">
        <v>21</v>
      </c>
    </row>
    <row r="47" spans="1:45" ht="49.5" customHeight="1">
      <c r="A47" s="1191" t="s">
        <v>420</v>
      </c>
      <c r="B47" s="1191" t="s">
        <v>421</v>
      </c>
      <c r="C47" s="1191" t="s">
        <v>422</v>
      </c>
      <c r="D47" s="1191" t="s">
        <v>423</v>
      </c>
      <c r="E47" s="4060"/>
      <c r="F47" s="4060"/>
      <c r="G47" s="4060"/>
      <c r="H47" s="4060"/>
      <c r="I47" s="3889" t="str">
        <f>S46&amp;".1"</f>
        <v>....1</v>
      </c>
      <c r="J47" s="1191"/>
      <c r="K47" s="1191"/>
      <c r="L47" s="1234" t="s">
        <v>611</v>
      </c>
      <c r="P47" s="4037">
        <v>1</v>
      </c>
      <c r="Q47" s="1846"/>
      <c r="R47" s="290"/>
      <c r="S47" s="1850" t="str">
        <f>$I47</f>
        <v>....1</v>
      </c>
      <c r="T47" s="220" t="s">
        <v>612</v>
      </c>
      <c r="U47" s="235"/>
      <c r="V47" s="4021"/>
      <c r="W47" s="4022"/>
      <c r="X47" s="4022"/>
      <c r="Y47" s="4022"/>
      <c r="Z47" s="4022"/>
      <c r="AA47" s="4022"/>
      <c r="AB47" s="4022"/>
      <c r="AC47" s="4023"/>
      <c r="AD47" s="4021"/>
      <c r="AE47" s="4022"/>
      <c r="AF47" s="4022"/>
      <c r="AG47" s="4022"/>
      <c r="AH47" s="4022"/>
      <c r="AI47" s="4022"/>
      <c r="AJ47" s="4022"/>
      <c r="AK47" s="4022"/>
      <c r="AL47" s="4023"/>
      <c r="AM47" s="1182" t="s">
        <v>613</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420</v>
      </c>
      <c r="B48" s="1191" t="s">
        <v>421</v>
      </c>
      <c r="C48" s="1191" t="s">
        <v>422</v>
      </c>
      <c r="D48" s="1191" t="s">
        <v>423</v>
      </c>
      <c r="E48" s="4060"/>
      <c r="F48" s="4060"/>
      <c r="G48" s="4060"/>
      <c r="H48" s="4060"/>
      <c r="I48" s="3870"/>
      <c r="J48" s="3889" t="str">
        <f>I47&amp;".1"</f>
        <v>....1.1</v>
      </c>
      <c r="K48" s="1191"/>
      <c r="L48" s="1234" t="s">
        <v>614</v>
      </c>
      <c r="P48" s="4037"/>
      <c r="Q48" s="4037">
        <v>1</v>
      </c>
      <c r="R48" s="291"/>
      <c r="S48" s="1850" t="str">
        <f>$J48</f>
        <v>....1.1</v>
      </c>
      <c r="T48" s="221" t="s">
        <v>615</v>
      </c>
      <c r="U48" s="235"/>
      <c r="V48" s="4021"/>
      <c r="W48" s="4022"/>
      <c r="X48" s="4022"/>
      <c r="Y48" s="4022"/>
      <c r="Z48" s="4022"/>
      <c r="AA48" s="4022"/>
      <c r="AB48" s="4022"/>
      <c r="AC48" s="4023"/>
      <c r="AD48" s="4021"/>
      <c r="AE48" s="4022"/>
      <c r="AF48" s="4022"/>
      <c r="AG48" s="4022"/>
      <c r="AH48" s="4022"/>
      <c r="AI48" s="4022"/>
      <c r="AJ48" s="4022"/>
      <c r="AK48" s="4022"/>
      <c r="AL48" s="4023"/>
      <c r="AM48" s="1182" t="s">
        <v>616</v>
      </c>
      <c r="AO48" s="1548"/>
      <c r="AP48" s="1548" t="str">
        <f t="shared" si="1"/>
        <v>Группа потребителей</v>
      </c>
      <c r="AQ48" s="1548"/>
      <c r="AR48" s="1548"/>
      <c r="AS48" s="1555">
        <v>21</v>
      </c>
    </row>
    <row r="49" spans="1:45" ht="21.95" customHeight="1">
      <c r="A49" s="1191" t="s">
        <v>420</v>
      </c>
      <c r="B49" s="1191" t="s">
        <v>421</v>
      </c>
      <c r="C49" s="1191" t="s">
        <v>422</v>
      </c>
      <c r="D49" s="1191" t="s">
        <v>423</v>
      </c>
      <c r="E49" s="4060"/>
      <c r="F49" s="4060"/>
      <c r="G49" s="4060"/>
      <c r="H49" s="4060"/>
      <c r="I49" s="3870"/>
      <c r="J49" s="3870"/>
      <c r="K49" s="3889" t="str">
        <f>J48&amp;".1"</f>
        <v>....1.1.1</v>
      </c>
      <c r="L49" s="1234" t="s">
        <v>617</v>
      </c>
      <c r="P49" s="4037"/>
      <c r="Q49" s="4037"/>
      <c r="R49" s="291">
        <v>1</v>
      </c>
      <c r="S49" s="1850" t="str">
        <f>$K49</f>
        <v>....1.1.1</v>
      </c>
      <c r="T49" s="1271"/>
      <c r="U49" s="235"/>
      <c r="V49" s="685"/>
      <c r="W49" s="260"/>
      <c r="X49" s="685"/>
      <c r="Y49" s="1181"/>
      <c r="Z49" s="4038"/>
      <c r="AA49" s="3899" t="s">
        <v>53</v>
      </c>
      <c r="AB49" s="4038"/>
      <c r="AC49" s="3899" t="s">
        <v>53</v>
      </c>
      <c r="AD49" s="685"/>
      <c r="AE49" s="260"/>
      <c r="AF49" s="685"/>
      <c r="AG49" s="1181"/>
      <c r="AH49" s="4038"/>
      <c r="AI49" s="3899" t="s">
        <v>53</v>
      </c>
      <c r="AJ49" s="4040"/>
      <c r="AK49" s="3899" t="s">
        <v>53</v>
      </c>
      <c r="AL49" s="1272"/>
      <c r="AM49" s="4056" t="s">
        <v>618</v>
      </c>
      <c r="AN49" s="1560" t="e">
        <f ca="1">STRCHECKDATE(V50:AL50)</f>
        <v>#NAME?</v>
      </c>
      <c r="AO49" s="1548"/>
      <c r="AP49" s="1548" t="str">
        <f t="shared" si="1"/>
        <v/>
      </c>
      <c r="AQ49" s="1548"/>
      <c r="AR49" s="1548"/>
      <c r="AS49" s="1555">
        <v>21</v>
      </c>
    </row>
    <row r="50" spans="1:45" ht="1.1499999999999999" customHeight="1">
      <c r="A50" s="1191" t="s">
        <v>420</v>
      </c>
      <c r="B50" s="1191" t="s">
        <v>421</v>
      </c>
      <c r="C50" s="1191" t="s">
        <v>422</v>
      </c>
      <c r="D50" s="1191" t="s">
        <v>423</v>
      </c>
      <c r="E50" s="4060"/>
      <c r="F50" s="4060"/>
      <c r="G50" s="4060"/>
      <c r="H50" s="4060"/>
      <c r="I50" s="3870"/>
      <c r="J50" s="3870"/>
      <c r="K50" s="3889"/>
      <c r="L50" s="1234"/>
      <c r="P50" s="4037"/>
      <c r="Q50" s="4037"/>
      <c r="R50" s="291"/>
      <c r="S50" s="1859"/>
      <c r="T50" s="235"/>
      <c r="U50" s="235"/>
      <c r="V50" s="260"/>
      <c r="W50" s="260"/>
      <c r="X50" s="260"/>
      <c r="Y50" s="263" t="str">
        <f>Z49&amp;"-"&amp;AB49</f>
        <v>-</v>
      </c>
      <c r="Z50" s="4039"/>
      <c r="AA50" s="3899"/>
      <c r="AB50" s="4039"/>
      <c r="AC50" s="3899"/>
      <c r="AD50" s="260"/>
      <c r="AE50" s="260"/>
      <c r="AF50" s="260"/>
      <c r="AG50" s="263" t="str">
        <f>AH49&amp;"-"&amp;AJ49</f>
        <v>-</v>
      </c>
      <c r="AH50" s="4039"/>
      <c r="AI50" s="3899"/>
      <c r="AJ50" s="4041"/>
      <c r="AK50" s="3899"/>
      <c r="AL50" s="1273"/>
      <c r="AM50" s="4057"/>
      <c r="AO50" s="1548"/>
      <c r="AP50" s="1548" t="str">
        <f t="shared" si="1"/>
        <v/>
      </c>
      <c r="AQ50" s="1548"/>
      <c r="AR50" s="1548"/>
      <c r="AS50" s="1555">
        <v>1</v>
      </c>
    </row>
    <row r="51" spans="1:45" ht="11.45" customHeight="1">
      <c r="A51" s="1191" t="s">
        <v>420</v>
      </c>
      <c r="B51" s="1191" t="s">
        <v>421</v>
      </c>
      <c r="C51" s="1191" t="s">
        <v>422</v>
      </c>
      <c r="D51" s="1191" t="s">
        <v>423</v>
      </c>
      <c r="E51" s="4060"/>
      <c r="F51" s="4060"/>
      <c r="G51" s="4060"/>
      <c r="H51" s="4060"/>
      <c r="I51" s="3870"/>
      <c r="J51" s="3889"/>
      <c r="K51" s="1191"/>
      <c r="L51" s="1234"/>
      <c r="P51" s="4037"/>
      <c r="Q51" s="4037"/>
      <c r="R51" s="290"/>
      <c r="S51" s="1202"/>
      <c r="T51" s="223" t="s">
        <v>619</v>
      </c>
      <c r="U51" s="534"/>
      <c r="V51" s="534"/>
      <c r="W51" s="534"/>
      <c r="X51" s="534"/>
      <c r="Y51" s="534"/>
      <c r="Z51" s="534"/>
      <c r="AA51" s="534"/>
      <c r="AB51" s="534"/>
      <c r="AC51" s="534"/>
      <c r="AD51" s="534"/>
      <c r="AE51" s="534"/>
      <c r="AF51" s="534"/>
      <c r="AG51" s="534"/>
      <c r="AH51" s="534"/>
      <c r="AI51" s="534"/>
      <c r="AJ51" s="534"/>
      <c r="AK51" s="534"/>
      <c r="AL51" s="259"/>
      <c r="AM51" s="4058"/>
      <c r="AO51" s="1548"/>
      <c r="AP51" s="1548" t="str">
        <f t="shared" si="1"/>
        <v>Добавить вид теплоносителя (параметры теплоносителя)</v>
      </c>
      <c r="AQ51" s="1548"/>
      <c r="AR51" s="1548"/>
      <c r="AS51" s="1555">
        <v>11</v>
      </c>
    </row>
    <row r="52" spans="1:45" ht="11.45" customHeight="1">
      <c r="A52" s="1191" t="s">
        <v>420</v>
      </c>
      <c r="B52" s="1191" t="s">
        <v>421</v>
      </c>
      <c r="C52" s="1191" t="s">
        <v>422</v>
      </c>
      <c r="D52" s="1191" t="s">
        <v>423</v>
      </c>
      <c r="E52" s="4060"/>
      <c r="F52" s="4060"/>
      <c r="G52" s="4060"/>
      <c r="H52" s="4060"/>
      <c r="I52" s="3889"/>
      <c r="J52" s="1191"/>
      <c r="K52" s="1191"/>
      <c r="L52" s="1234"/>
      <c r="P52" s="4037"/>
      <c r="Q52" s="1846"/>
      <c r="R52" s="290"/>
      <c r="S52" s="1202"/>
      <c r="T52" s="222" t="s">
        <v>620</v>
      </c>
      <c r="U52" s="534"/>
      <c r="V52" s="534"/>
      <c r="W52" s="534"/>
      <c r="X52" s="534"/>
      <c r="Y52" s="534"/>
      <c r="Z52" s="534"/>
      <c r="AA52" s="534"/>
      <c r="AB52" s="534"/>
      <c r="AC52" s="300"/>
      <c r="AD52" s="534"/>
      <c r="AE52" s="534"/>
      <c r="AF52" s="534"/>
      <c r="AG52" s="534"/>
      <c r="AH52" s="534"/>
      <c r="AI52" s="534"/>
      <c r="AJ52" s="534"/>
      <c r="AK52" s="300"/>
      <c r="AL52" s="534"/>
      <c r="AM52" s="238"/>
      <c r="AO52" s="1548"/>
      <c r="AP52" s="1548" t="str">
        <f t="shared" si="1"/>
        <v>Добавить группу потребителей</v>
      </c>
      <c r="AQ52" s="1548"/>
      <c r="AR52" s="1548"/>
      <c r="AS52" s="1555">
        <v>11</v>
      </c>
    </row>
    <row r="53" spans="1:45" ht="14.65" customHeight="1">
      <c r="A53" s="1191" t="s">
        <v>420</v>
      </c>
      <c r="B53" s="1191" t="s">
        <v>421</v>
      </c>
      <c r="C53" s="1191" t="s">
        <v>422</v>
      </c>
      <c r="D53" s="1191" t="s">
        <v>423</v>
      </c>
      <c r="E53" s="4060"/>
      <c r="F53" s="4060"/>
      <c r="G53" s="4060"/>
      <c r="H53" s="4059"/>
      <c r="I53" s="1191"/>
      <c r="J53" s="1191"/>
      <c r="K53" s="1191"/>
      <c r="L53" s="1234"/>
      <c r="M53" s="1534"/>
      <c r="N53" s="1534"/>
      <c r="O53" s="1559"/>
      <c r="P53" s="294"/>
      <c r="Q53" s="309"/>
      <c r="R53" s="289"/>
      <c r="S53" s="1202"/>
      <c r="T53" s="299" t="s">
        <v>621</v>
      </c>
      <c r="U53" s="534"/>
      <c r="V53" s="534"/>
      <c r="W53" s="534"/>
      <c r="X53" s="534"/>
      <c r="Y53" s="534"/>
      <c r="Z53" s="534"/>
      <c r="AA53" s="534"/>
      <c r="AB53" s="534"/>
      <c r="AC53" s="300"/>
      <c r="AD53" s="534"/>
      <c r="AE53" s="534"/>
      <c r="AF53" s="534"/>
      <c r="AG53" s="534"/>
      <c r="AH53" s="534"/>
      <c r="AI53" s="534"/>
      <c r="AJ53" s="534"/>
      <c r="AK53" s="300"/>
      <c r="AL53" s="534"/>
      <c r="AM53" s="238"/>
      <c r="AO53" s="1548"/>
      <c r="AP53" s="1548" t="str">
        <f t="shared" si="1"/>
        <v>Добавить схему подключения</v>
      </c>
      <c r="AQ53" s="1548"/>
      <c r="AR53" s="1548"/>
      <c r="AS53" s="1555">
        <v>14</v>
      </c>
    </row>
    <row r="54" spans="1:45" s="1566" customFormat="1" ht="4.1500000000000004" customHeight="1">
      <c r="A54" s="1299" t="s">
        <v>420</v>
      </c>
      <c r="B54" s="1299" t="s">
        <v>421</v>
      </c>
      <c r="C54" s="1299" t="s">
        <v>422</v>
      </c>
      <c r="D54" s="1298"/>
      <c r="E54" s="4060"/>
      <c r="F54" s="4060"/>
      <c r="G54" s="4059"/>
      <c r="H54" s="1298"/>
      <c r="I54" s="1298"/>
      <c r="J54" s="1298"/>
      <c r="K54" s="1298"/>
      <c r="L54" s="1301"/>
      <c r="M54" s="1302"/>
      <c r="N54" s="1302"/>
      <c r="O54" s="285"/>
      <c r="P54" s="1240"/>
      <c r="Q54" s="1241"/>
      <c r="R54" s="1240"/>
      <c r="S54" s="1246"/>
      <c r="T54" s="1249" t="s">
        <v>235</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4</v>
      </c>
    </row>
    <row r="55" spans="1:45" s="1566" customFormat="1" ht="4.1500000000000004" customHeight="1">
      <c r="A55" s="1299" t="s">
        <v>420</v>
      </c>
      <c r="B55" s="1299" t="s">
        <v>421</v>
      </c>
      <c r="C55" s="1298"/>
      <c r="D55" s="1298"/>
      <c r="E55" s="4060"/>
      <c r="F55" s="4059"/>
      <c r="G55" s="1298"/>
      <c r="H55" s="1298"/>
      <c r="I55" s="1298"/>
      <c r="J55" s="1298"/>
      <c r="K55" s="1298"/>
      <c r="L55" s="1301"/>
      <c r="M55" s="1303"/>
      <c r="N55" s="1303"/>
      <c r="O55" s="285"/>
      <c r="P55" s="1240"/>
      <c r="Q55" s="1241"/>
      <c r="R55" s="1240"/>
      <c r="S55" s="1246"/>
      <c r="T55" s="1249" t="s">
        <v>236</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4</v>
      </c>
    </row>
    <row r="56" spans="1:45" s="1566" customFormat="1" ht="4.1500000000000004" customHeight="1">
      <c r="A56" s="1299" t="s">
        <v>420</v>
      </c>
      <c r="B56" s="1299"/>
      <c r="C56" s="1299"/>
      <c r="D56" s="1299"/>
      <c r="E56" s="4059"/>
      <c r="F56" s="1299"/>
      <c r="G56" s="1299"/>
      <c r="H56" s="1299"/>
      <c r="I56" s="1299"/>
      <c r="J56" s="1299"/>
      <c r="K56" s="1299"/>
      <c r="L56" s="1305"/>
      <c r="M56" s="1303"/>
      <c r="N56" s="1303"/>
      <c r="O56" s="285"/>
      <c r="P56" s="314"/>
      <c r="Q56" s="1268"/>
      <c r="R56" s="314"/>
      <c r="S56" s="1246"/>
      <c r="T56" s="1249" t="s">
        <v>286</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4</v>
      </c>
    </row>
    <row r="57" spans="1:45" s="1566" customFormat="1" ht="4.1500000000000004" customHeight="1">
      <c r="A57" s="1298"/>
      <c r="B57" s="1298"/>
      <c r="C57" s="1298"/>
      <c r="D57" s="1298"/>
      <c r="E57" s="1299"/>
      <c r="F57" s="1298"/>
      <c r="G57" s="1298"/>
      <c r="H57" s="1298"/>
      <c r="I57" s="1298"/>
      <c r="J57" s="1298"/>
      <c r="K57" s="1298"/>
      <c r="L57" s="1301"/>
      <c r="M57" s="1303"/>
      <c r="N57" s="1303"/>
      <c r="O57" s="285"/>
      <c r="P57" s="1240"/>
      <c r="Q57" s="1241"/>
      <c r="R57" s="1240"/>
      <c r="S57" s="1246"/>
      <c r="T57" s="1249" t="s">
        <v>287</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4</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4032"/>
      <c r="U59" s="4032"/>
      <c r="V59" s="4032"/>
      <c r="W59" s="4032"/>
      <c r="X59" s="4032"/>
      <c r="Y59" s="4032"/>
      <c r="Z59" s="4032"/>
      <c r="AA59" s="4032"/>
      <c r="AB59" s="4032"/>
      <c r="AC59" s="4032"/>
      <c r="AD59" s="4032"/>
      <c r="AE59" s="4032"/>
      <c r="AF59" s="4032"/>
      <c r="AG59" s="4032"/>
      <c r="AH59" s="4032"/>
      <c r="AI59" s="4032"/>
      <c r="AJ59" s="4032"/>
      <c r="AK59" s="4032"/>
      <c r="AL59" s="4032"/>
      <c r="AM59" s="4032"/>
      <c r="AS59" s="1555">
        <v>27</v>
      </c>
    </row>
    <row r="60" spans="1:45" ht="65.25" customHeight="1">
      <c r="O60" s="1559"/>
      <c r="T60" s="4032"/>
      <c r="U60" s="4032"/>
      <c r="V60" s="4032"/>
      <c r="W60" s="4032"/>
      <c r="X60" s="4032"/>
      <c r="Y60" s="4032"/>
      <c r="Z60" s="4032"/>
      <c r="AA60" s="4032"/>
      <c r="AB60" s="4032"/>
      <c r="AC60" s="4032"/>
      <c r="AD60" s="4032"/>
      <c r="AE60" s="4032"/>
      <c r="AF60" s="4032"/>
      <c r="AG60" s="4032"/>
      <c r="AH60" s="4032"/>
      <c r="AI60" s="4032"/>
      <c r="AJ60" s="4032"/>
      <c r="AK60" s="4032"/>
      <c r="AL60" s="4032"/>
      <c r="AM60" s="4032"/>
      <c r="AS60" s="1555">
        <v>62</v>
      </c>
    </row>
    <row r="61" spans="1:45" ht="14.65" customHeight="1">
      <c r="O61" s="1559"/>
      <c r="AS61" s="1555">
        <v>14</v>
      </c>
    </row>
    <row r="62" spans="1:45" ht="18.75" customHeight="1">
      <c r="O62" s="1559"/>
      <c r="S62" s="1177"/>
      <c r="T62" s="4032"/>
      <c r="U62" s="4032"/>
      <c r="V62" s="4032"/>
      <c r="W62" s="4032"/>
      <c r="X62" s="4032"/>
      <c r="Y62" s="4032"/>
      <c r="Z62" s="4032"/>
      <c r="AA62" s="4032"/>
      <c r="AB62" s="4032"/>
      <c r="AC62" s="4032"/>
      <c r="AD62" s="4032"/>
      <c r="AE62" s="4032"/>
      <c r="AF62" s="4032"/>
      <c r="AG62" s="4032"/>
      <c r="AH62" s="4032"/>
      <c r="AI62" s="4032"/>
      <c r="AJ62" s="4032"/>
      <c r="AK62" s="4032"/>
      <c r="AL62" s="4032"/>
      <c r="AM62" s="4032"/>
      <c r="AS62" s="1555">
        <v>18</v>
      </c>
    </row>
    <row r="63" spans="1:45" ht="18.75" customHeight="1">
      <c r="O63" s="1559"/>
      <c r="T63" s="4032"/>
      <c r="U63" s="4032"/>
      <c r="V63" s="4032"/>
      <c r="W63" s="4032"/>
      <c r="X63" s="4032"/>
      <c r="Y63" s="4032"/>
      <c r="Z63" s="4032"/>
      <c r="AA63" s="4032"/>
      <c r="AB63" s="4032"/>
      <c r="AC63" s="4032"/>
      <c r="AD63" s="4032"/>
      <c r="AE63" s="4032"/>
      <c r="AF63" s="4032"/>
      <c r="AG63" s="4032"/>
      <c r="AH63" s="4032"/>
      <c r="AI63" s="4032"/>
      <c r="AJ63" s="4032"/>
      <c r="AK63" s="4032"/>
      <c r="AL63" s="4032"/>
      <c r="AM63" s="4032"/>
      <c r="AS63" s="1555">
        <v>18</v>
      </c>
    </row>
    <row r="64" spans="1:45" ht="29.25" customHeight="1">
      <c r="O64" s="1559"/>
      <c r="S64" s="1177"/>
      <c r="T64" s="4032"/>
      <c r="U64" s="4032"/>
      <c r="V64" s="4032"/>
      <c r="W64" s="4032"/>
      <c r="X64" s="4032"/>
      <c r="Y64" s="4032"/>
      <c r="Z64" s="4032"/>
      <c r="AA64" s="4032"/>
      <c r="AB64" s="4032"/>
      <c r="AC64" s="4032"/>
      <c r="AD64" s="4032"/>
      <c r="AE64" s="4032"/>
      <c r="AF64" s="4032"/>
      <c r="AG64" s="4032"/>
      <c r="AH64" s="4032"/>
      <c r="AI64" s="4032"/>
      <c r="AJ64" s="4032"/>
      <c r="AK64" s="4032"/>
      <c r="AL64" s="4032"/>
      <c r="AM64" s="4032"/>
      <c r="AS64" s="1555">
        <v>28</v>
      </c>
    </row>
    <row r="65" spans="1:45" ht="22.5" hidden="1" customHeight="1">
      <c r="A65" s="1555" t="s">
        <v>69</v>
      </c>
      <c r="B65" s="1555">
        <v>0</v>
      </c>
      <c r="C65" s="1555">
        <v>0</v>
      </c>
      <c r="D65" s="1555">
        <v>0</v>
      </c>
      <c r="E65" s="1555">
        <v>0</v>
      </c>
      <c r="F65" s="1555">
        <v>0</v>
      </c>
      <c r="G65" s="1555">
        <v>0</v>
      </c>
      <c r="H65" s="1555">
        <v>0</v>
      </c>
      <c r="I65" s="1555">
        <v>0</v>
      </c>
      <c r="J65" s="1555">
        <v>0</v>
      </c>
      <c r="K65" s="1555">
        <v>0</v>
      </c>
      <c r="L65" s="1831">
        <v>0</v>
      </c>
      <c r="M65" s="1857">
        <v>0</v>
      </c>
      <c r="N65" s="1857">
        <v>0</v>
      </c>
      <c r="O65" s="1857">
        <v>0</v>
      </c>
      <c r="P65" s="1857">
        <v>3</v>
      </c>
      <c r="Q65" s="279">
        <v>3</v>
      </c>
      <c r="R65" s="279">
        <v>3</v>
      </c>
      <c r="S65" s="515">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70" hidden="1" customWidth="1"/>
    <col min="13" max="14" width="12.28515625" style="1975" hidden="1" customWidth="1"/>
    <col min="15" max="15" width="23.42578125" style="1975" hidden="1" customWidth="1"/>
    <col min="16" max="16" width="3" style="1975" customWidth="1"/>
    <col min="17" max="18" width="3" style="279" customWidth="1"/>
    <col min="19" max="19" width="12" style="197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v>
      </c>
    </row>
    <row r="2" spans="1:45" ht="21" hidden="1" customHeight="1">
      <c r="A2" s="1191"/>
      <c r="B2" s="1191"/>
      <c r="C2" s="1191"/>
      <c r="D2" s="1191"/>
      <c r="E2" s="4059">
        <v>1</v>
      </c>
      <c r="F2" s="1191"/>
      <c r="G2" s="1191"/>
      <c r="H2" s="1191"/>
      <c r="I2" s="1191"/>
      <c r="J2" s="1191"/>
      <c r="K2" s="1191"/>
      <c r="L2" s="1234"/>
      <c r="M2" s="1534"/>
      <c r="N2" s="1534"/>
      <c r="O2" s="1534"/>
      <c r="P2" s="1514"/>
      <c r="Q2" s="294"/>
      <c r="R2" s="289"/>
      <c r="S2" s="1850" t="e">
        <f>INDEX(PT_DIFFERENTIATION_NUM_NTAR,MATCH(A2,PT_DIFFERENTIATION_NTAR_ID,0))</f>
        <v>#N/A</v>
      </c>
      <c r="T2" s="1449" t="s">
        <v>195</v>
      </c>
      <c r="U2" s="235"/>
      <c r="V2" s="4027"/>
      <c r="W2" s="4028"/>
      <c r="X2" s="4028"/>
      <c r="Y2" s="4028"/>
      <c r="Z2" s="4028"/>
      <c r="AA2" s="4028"/>
      <c r="AB2" s="4028"/>
      <c r="AC2" s="4029"/>
      <c r="AD2" s="4027" t="e">
        <f>INDEX(PT_DIFFERENTIATION_NTAR,MATCH(A2,PT_DIFFERENTIATION_NTAR_ID,0))</f>
        <v>#N/A</v>
      </c>
      <c r="AE2" s="4028"/>
      <c r="AF2" s="4028"/>
      <c r="AG2" s="4028"/>
      <c r="AH2" s="4028"/>
      <c r="AI2" s="4028"/>
      <c r="AJ2" s="4028"/>
      <c r="AK2" s="4028"/>
      <c r="AL2" s="4029"/>
      <c r="AM2" s="1182" t="s">
        <v>604</v>
      </c>
      <c r="AO2" s="1548"/>
      <c r="AP2" s="1548" t="str">
        <f t="shared" ref="AP2:AP15" si="0">IF(T2="","",T2)</f>
        <v>Наименование тарифа</v>
      </c>
      <c r="AQ2" s="1548"/>
      <c r="AR2" s="1548"/>
      <c r="AS2" s="1555">
        <v>0</v>
      </c>
    </row>
    <row r="3" spans="1:45" ht="21" hidden="1" customHeight="1">
      <c r="A3" s="1191"/>
      <c r="B3" s="1191"/>
      <c r="C3" s="1191"/>
      <c r="D3" s="1191"/>
      <c r="E3" s="4060"/>
      <c r="F3" s="4059">
        <v>1</v>
      </c>
      <c r="G3" s="1191"/>
      <c r="H3" s="1191"/>
      <c r="I3" s="1191"/>
      <c r="J3" s="1191"/>
      <c r="K3" s="1191"/>
      <c r="L3" s="1234"/>
      <c r="M3" s="1534"/>
      <c r="N3" s="1534"/>
      <c r="O3" s="1534"/>
      <c r="P3" s="1832"/>
      <c r="Q3" s="286"/>
      <c r="R3" s="287"/>
      <c r="S3" s="1850" t="e">
        <f>INDEX(PT_DIFFERENTIATION_NUM_TER,MATCH(B3,PT_DIFFERENTIATION_TER_ID,0))</f>
        <v>#N/A</v>
      </c>
      <c r="T3" s="1446" t="s">
        <v>605</v>
      </c>
      <c r="U3" s="235"/>
      <c r="V3" s="4027"/>
      <c r="W3" s="4028"/>
      <c r="X3" s="4028"/>
      <c r="Y3" s="4028"/>
      <c r="Z3" s="4028"/>
      <c r="AA3" s="4028"/>
      <c r="AB3" s="4028"/>
      <c r="AC3" s="4029"/>
      <c r="AD3" s="4027" t="e">
        <f>INDEX(PT_DIFFERENTIATION_TER,MATCH(B3,PT_DIFFERENTIATION_TER_ID,0))</f>
        <v>#N/A</v>
      </c>
      <c r="AE3" s="4028"/>
      <c r="AF3" s="4028"/>
      <c r="AG3" s="4028"/>
      <c r="AH3" s="4028"/>
      <c r="AI3" s="4028"/>
      <c r="AJ3" s="4028"/>
      <c r="AK3" s="4028"/>
      <c r="AL3" s="4029"/>
      <c r="AM3" s="1182" t="s">
        <v>606</v>
      </c>
      <c r="AO3" s="1548"/>
      <c r="AP3" s="1548" t="str">
        <f t="shared" si="0"/>
        <v>Территория действия тарифа</v>
      </c>
      <c r="AQ3" s="1548"/>
      <c r="AR3" s="1548"/>
      <c r="AS3" s="1555">
        <v>0</v>
      </c>
    </row>
    <row r="4" spans="1:45" ht="23.25" hidden="1" customHeight="1">
      <c r="A4" s="1191"/>
      <c r="B4" s="1191"/>
      <c r="C4" s="1191"/>
      <c r="D4" s="1191"/>
      <c r="E4" s="4060"/>
      <c r="F4" s="4060"/>
      <c r="G4" s="4059">
        <v>1</v>
      </c>
      <c r="H4" s="1191"/>
      <c r="I4" s="1191"/>
      <c r="J4" s="1191"/>
      <c r="K4" s="1191"/>
      <c r="L4" s="1234"/>
      <c r="M4" s="1534"/>
      <c r="N4" s="1534"/>
      <c r="O4" s="1534"/>
      <c r="P4" s="288"/>
      <c r="Q4" s="286"/>
      <c r="R4" s="287"/>
      <c r="S4" s="1850" t="e">
        <f>INDEX(PT_DIFFERENTIATION_NUM_CS,MATCH(C4,PT_DIFFERENTIATION_CS_ID,0))</f>
        <v>#N/A</v>
      </c>
      <c r="T4" s="244" t="s">
        <v>607</v>
      </c>
      <c r="U4" s="235"/>
      <c r="V4" s="4027"/>
      <c r="W4" s="4028"/>
      <c r="X4" s="4028"/>
      <c r="Y4" s="4028"/>
      <c r="Z4" s="4028"/>
      <c r="AA4" s="4028"/>
      <c r="AB4" s="4028"/>
      <c r="AC4" s="4029"/>
      <c r="AD4" s="4027" t="e">
        <f>INDEX(PT_DIFFERENTIATION_CS,MATCH(C4,PT_DIFFERENTIATION_CS_ID,0))</f>
        <v>#N/A</v>
      </c>
      <c r="AE4" s="4028"/>
      <c r="AF4" s="4028"/>
      <c r="AG4" s="4028"/>
      <c r="AH4" s="4028"/>
      <c r="AI4" s="4028"/>
      <c r="AJ4" s="4028"/>
      <c r="AK4" s="4028"/>
      <c r="AL4" s="4029"/>
      <c r="AM4" s="1182" t="s">
        <v>608</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4060"/>
      <c r="F5" s="4060"/>
      <c r="G5" s="4060"/>
      <c r="H5" s="4059">
        <v>1</v>
      </c>
      <c r="I5" s="1191"/>
      <c r="J5" s="1191"/>
      <c r="K5" s="1191"/>
      <c r="L5" s="1234"/>
      <c r="M5" s="1534"/>
      <c r="N5" s="1534"/>
      <c r="O5" s="1534"/>
      <c r="P5" s="288"/>
      <c r="Q5" s="286"/>
      <c r="R5" s="287"/>
      <c r="S5" s="1850" t="e">
        <f>INDEX(PT_DIFFERENTIATION_NUM_IST_TE,MATCH(D5,PT_DIFFERENTIATION_IST_TE_ID,0))</f>
        <v>#N/A</v>
      </c>
      <c r="T5" s="245" t="s">
        <v>609</v>
      </c>
      <c r="U5" s="235"/>
      <c r="V5" s="4027"/>
      <c r="W5" s="4028"/>
      <c r="X5" s="4028"/>
      <c r="Y5" s="4028"/>
      <c r="Z5" s="4028"/>
      <c r="AA5" s="4028"/>
      <c r="AB5" s="4028"/>
      <c r="AC5" s="4029"/>
      <c r="AD5" s="4027" t="e">
        <f>INDEX(PT_DIFFERENTIATION_IST_TE,MATCH(D5,PT_DIFFERENTIATION_IST_TE_ID,0))</f>
        <v>#N/A</v>
      </c>
      <c r="AE5" s="4028"/>
      <c r="AF5" s="4028"/>
      <c r="AG5" s="4028"/>
      <c r="AH5" s="4028"/>
      <c r="AI5" s="4028"/>
      <c r="AJ5" s="4028"/>
      <c r="AK5" s="4028"/>
      <c r="AL5" s="4029"/>
      <c r="AM5" s="1182" t="s">
        <v>610</v>
      </c>
      <c r="AO5" s="1548"/>
      <c r="AP5" s="1548" t="str">
        <f t="shared" si="0"/>
        <v xml:space="preserve">Источник тепловой энергии  </v>
      </c>
      <c r="AQ5" s="1548"/>
      <c r="AR5" s="1548"/>
      <c r="AS5" s="1555">
        <v>0</v>
      </c>
    </row>
    <row r="6" spans="1:45" ht="47.25" hidden="1" customHeight="1">
      <c r="A6" s="1191"/>
      <c r="B6" s="1191"/>
      <c r="C6" s="1191"/>
      <c r="D6" s="1191"/>
      <c r="E6" s="4060"/>
      <c r="F6" s="4060"/>
      <c r="G6" s="4060"/>
      <c r="H6" s="4060"/>
      <c r="I6" s="3889" t="e">
        <f>S5&amp;".1"</f>
        <v>#N/A</v>
      </c>
      <c r="J6" s="1191"/>
      <c r="K6" s="1191"/>
      <c r="L6" s="1234" t="s">
        <v>611</v>
      </c>
      <c r="M6" s="1559"/>
      <c r="P6" s="4037">
        <v>1</v>
      </c>
      <c r="Q6" s="1846"/>
      <c r="R6" s="290"/>
      <c r="S6" s="1850" t="e">
        <f>$I6</f>
        <v>#N/A</v>
      </c>
      <c r="T6" s="220" t="s">
        <v>612</v>
      </c>
      <c r="U6" s="235"/>
      <c r="V6" s="4021"/>
      <c r="W6" s="4022"/>
      <c r="X6" s="4022"/>
      <c r="Y6" s="4022"/>
      <c r="Z6" s="4022"/>
      <c r="AA6" s="4022"/>
      <c r="AB6" s="4022"/>
      <c r="AC6" s="4023"/>
      <c r="AD6" s="4021"/>
      <c r="AE6" s="4022"/>
      <c r="AF6" s="4022"/>
      <c r="AG6" s="4022"/>
      <c r="AH6" s="4022"/>
      <c r="AI6" s="4022"/>
      <c r="AJ6" s="4022"/>
      <c r="AK6" s="4022"/>
      <c r="AL6" s="4023"/>
      <c r="AM6" s="1182" t="s">
        <v>613</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4060"/>
      <c r="F7" s="4060"/>
      <c r="G7" s="4060"/>
      <c r="H7" s="4060"/>
      <c r="I7" s="3870"/>
      <c r="J7" s="3889" t="e">
        <f>I6&amp;".1"</f>
        <v>#N/A</v>
      </c>
      <c r="K7" s="1191"/>
      <c r="L7" s="1234" t="s">
        <v>614</v>
      </c>
      <c r="M7" s="1559"/>
      <c r="N7" s="1555"/>
      <c r="P7" s="4037"/>
      <c r="Q7" s="4037">
        <v>1</v>
      </c>
      <c r="R7" s="291"/>
      <c r="S7" s="1850" t="e">
        <f>$J7</f>
        <v>#N/A</v>
      </c>
      <c r="T7" s="221" t="s">
        <v>615</v>
      </c>
      <c r="U7" s="235"/>
      <c r="V7" s="4021"/>
      <c r="W7" s="4022"/>
      <c r="X7" s="4022"/>
      <c r="Y7" s="4022"/>
      <c r="Z7" s="4022"/>
      <c r="AA7" s="4022"/>
      <c r="AB7" s="4022"/>
      <c r="AC7" s="4023"/>
      <c r="AD7" s="4021"/>
      <c r="AE7" s="4022"/>
      <c r="AF7" s="4022"/>
      <c r="AG7" s="4022"/>
      <c r="AH7" s="4022"/>
      <c r="AI7" s="4022"/>
      <c r="AJ7" s="4022"/>
      <c r="AK7" s="4022"/>
      <c r="AL7" s="4023"/>
      <c r="AM7" s="1182" t="s">
        <v>616</v>
      </c>
      <c r="AO7" s="1548"/>
      <c r="AP7" s="1548" t="str">
        <f t="shared" si="0"/>
        <v>Группа потребителей</v>
      </c>
      <c r="AQ7" s="1548"/>
      <c r="AR7" s="1548"/>
      <c r="AS7" s="1555">
        <v>0</v>
      </c>
    </row>
    <row r="8" spans="1:45" ht="21" hidden="1" customHeight="1">
      <c r="A8" s="1191"/>
      <c r="B8" s="1191"/>
      <c r="C8" s="1191"/>
      <c r="D8" s="1191"/>
      <c r="E8" s="4060"/>
      <c r="F8" s="4060"/>
      <c r="G8" s="4060"/>
      <c r="H8" s="4060"/>
      <c r="I8" s="3870"/>
      <c r="J8" s="3870"/>
      <c r="K8" s="3889" t="e">
        <f>J7&amp;".1"</f>
        <v>#N/A</v>
      </c>
      <c r="L8" s="1234" t="s">
        <v>617</v>
      </c>
      <c r="M8" s="1559"/>
      <c r="N8" s="1555"/>
      <c r="O8" s="1555"/>
      <c r="P8" s="4037"/>
      <c r="Q8" s="4037"/>
      <c r="R8" s="291">
        <v>1</v>
      </c>
      <c r="S8" s="1850" t="e">
        <f>$K8</f>
        <v>#N/A</v>
      </c>
      <c r="T8" s="1271"/>
      <c r="U8" s="235"/>
      <c r="V8" s="685"/>
      <c r="W8" s="260"/>
      <c r="X8" s="685"/>
      <c r="Y8" s="1181"/>
      <c r="Z8" s="4038"/>
      <c r="AA8" s="3899" t="s">
        <v>53</v>
      </c>
      <c r="AB8" s="4038"/>
      <c r="AC8" s="3899" t="s">
        <v>53</v>
      </c>
      <c r="AD8" s="685"/>
      <c r="AE8" s="260"/>
      <c r="AF8" s="685"/>
      <c r="AG8" s="1181"/>
      <c r="AH8" s="4038"/>
      <c r="AI8" s="3899" t="s">
        <v>53</v>
      </c>
      <c r="AJ8" s="4038"/>
      <c r="AK8" s="3899" t="s">
        <v>53</v>
      </c>
      <c r="AL8" s="260"/>
      <c r="AM8" s="4056" t="s">
        <v>618</v>
      </c>
      <c r="AN8" s="1560" t="e">
        <f ca="1">STRCHECKDATE(V9:AL9)</f>
        <v>#NAME?</v>
      </c>
      <c r="AO8" s="1548"/>
      <c r="AP8" s="1548" t="str">
        <f t="shared" si="0"/>
        <v/>
      </c>
      <c r="AQ8" s="1548"/>
      <c r="AR8" s="1548"/>
      <c r="AS8" s="1555">
        <v>0</v>
      </c>
    </row>
    <row r="9" spans="1:45" ht="0.75" hidden="1" customHeight="1">
      <c r="A9" s="1191"/>
      <c r="B9" s="1191"/>
      <c r="C9" s="1191"/>
      <c r="D9" s="1191"/>
      <c r="E9" s="4060"/>
      <c r="F9" s="4060"/>
      <c r="G9" s="4060"/>
      <c r="H9" s="4060"/>
      <c r="I9" s="3870"/>
      <c r="J9" s="3870"/>
      <c r="K9" s="3889"/>
      <c r="L9" s="1234"/>
      <c r="M9" s="1559"/>
      <c r="N9" s="1555"/>
      <c r="O9" s="1555"/>
      <c r="P9" s="4037"/>
      <c r="Q9" s="4037"/>
      <c r="R9" s="291"/>
      <c r="S9" s="1859"/>
      <c r="T9" s="235"/>
      <c r="U9" s="235"/>
      <c r="V9" s="260"/>
      <c r="W9" s="260"/>
      <c r="X9" s="260"/>
      <c r="Y9" s="263" t="str">
        <f>Z8&amp;"-"&amp;AB8</f>
        <v>-</v>
      </c>
      <c r="Z9" s="4039"/>
      <c r="AA9" s="3899"/>
      <c r="AB9" s="4039"/>
      <c r="AC9" s="3899"/>
      <c r="AD9" s="260"/>
      <c r="AE9" s="260"/>
      <c r="AF9" s="260"/>
      <c r="AG9" s="263" t="str">
        <f>AH8&amp;"-"&amp;AJ8</f>
        <v>-</v>
      </c>
      <c r="AH9" s="4039"/>
      <c r="AI9" s="3899"/>
      <c r="AJ9" s="4039"/>
      <c r="AK9" s="3899"/>
      <c r="AL9" s="260"/>
      <c r="AM9" s="4057"/>
      <c r="AO9" s="1548"/>
      <c r="AP9" s="1548" t="str">
        <f t="shared" si="0"/>
        <v/>
      </c>
      <c r="AQ9" s="1548"/>
      <c r="AR9" s="1548"/>
      <c r="AS9" s="1555">
        <v>0</v>
      </c>
    </row>
    <row r="10" spans="1:45" ht="15" hidden="1" customHeight="1">
      <c r="A10" s="1191"/>
      <c r="B10" s="1191"/>
      <c r="C10" s="1191"/>
      <c r="D10" s="1191"/>
      <c r="E10" s="4060"/>
      <c r="F10" s="4060"/>
      <c r="G10" s="4060"/>
      <c r="H10" s="4060"/>
      <c r="I10" s="3870"/>
      <c r="J10" s="3889"/>
      <c r="K10" s="1191"/>
      <c r="L10" s="1234"/>
      <c r="M10" s="1559"/>
      <c r="N10" s="1555"/>
      <c r="P10" s="4037"/>
      <c r="Q10" s="4037"/>
      <c r="R10" s="290"/>
      <c r="S10" s="1202"/>
      <c r="T10" s="223" t="s">
        <v>619</v>
      </c>
      <c r="U10" s="534"/>
      <c r="V10" s="534"/>
      <c r="W10" s="534"/>
      <c r="X10" s="534"/>
      <c r="Y10" s="534"/>
      <c r="Z10" s="534"/>
      <c r="AA10" s="534"/>
      <c r="AB10" s="534"/>
      <c r="AC10" s="534"/>
      <c r="AD10" s="534"/>
      <c r="AE10" s="534"/>
      <c r="AF10" s="534"/>
      <c r="AG10" s="534"/>
      <c r="AH10" s="534"/>
      <c r="AI10" s="534"/>
      <c r="AJ10" s="534"/>
      <c r="AK10" s="534"/>
      <c r="AL10" s="259"/>
      <c r="AM10" s="4058"/>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4060"/>
      <c r="F11" s="4060"/>
      <c r="G11" s="4060"/>
      <c r="H11" s="4060"/>
      <c r="I11" s="3889"/>
      <c r="J11" s="1191"/>
      <c r="K11" s="1191"/>
      <c r="L11" s="1234"/>
      <c r="M11" s="1559"/>
      <c r="P11" s="4037"/>
      <c r="Q11" s="1846"/>
      <c r="R11" s="290"/>
      <c r="S11" s="1202"/>
      <c r="T11" s="222" t="s">
        <v>620</v>
      </c>
      <c r="U11" s="534"/>
      <c r="V11" s="534"/>
      <c r="W11" s="534"/>
      <c r="X11" s="534"/>
      <c r="Y11" s="534"/>
      <c r="Z11" s="534"/>
      <c r="AA11" s="534"/>
      <c r="AB11" s="534"/>
      <c r="AC11" s="300"/>
      <c r="AD11" s="534"/>
      <c r="AE11" s="534"/>
      <c r="AF11" s="534"/>
      <c r="AG11" s="534"/>
      <c r="AH11" s="534"/>
      <c r="AI11" s="534"/>
      <c r="AJ11" s="534"/>
      <c r="AK11" s="300"/>
      <c r="AL11" s="534"/>
      <c r="AM11" s="238"/>
      <c r="AO11" s="1548"/>
      <c r="AP11" s="1548" t="str">
        <f t="shared" si="0"/>
        <v>Добавить группу потребителей</v>
      </c>
      <c r="AQ11" s="1548"/>
      <c r="AR11" s="1548"/>
      <c r="AS11" s="1555">
        <v>0</v>
      </c>
    </row>
    <row r="12" spans="1:45" ht="14.25" hidden="1" customHeight="1">
      <c r="A12" s="1191"/>
      <c r="B12" s="1191"/>
      <c r="C12" s="1191"/>
      <c r="D12" s="1191"/>
      <c r="E12" s="4060"/>
      <c r="F12" s="4060"/>
      <c r="G12" s="4060"/>
      <c r="H12" s="4059"/>
      <c r="I12" s="1191"/>
      <c r="J12" s="1191"/>
      <c r="K12" s="1191"/>
      <c r="L12" s="1234"/>
      <c r="M12" s="1534"/>
      <c r="N12" s="1534"/>
      <c r="O12" s="1559"/>
      <c r="P12" s="294"/>
      <c r="Q12" s="309"/>
      <c r="R12" s="289"/>
      <c r="S12" s="1202"/>
      <c r="T12" s="299" t="s">
        <v>621</v>
      </c>
      <c r="U12" s="534"/>
      <c r="V12" s="534"/>
      <c r="W12" s="534"/>
      <c r="X12" s="534"/>
      <c r="Y12" s="534"/>
      <c r="Z12" s="534"/>
      <c r="AA12" s="534"/>
      <c r="AB12" s="534"/>
      <c r="AC12" s="300"/>
      <c r="AD12" s="534"/>
      <c r="AE12" s="534"/>
      <c r="AF12" s="534"/>
      <c r="AG12" s="534"/>
      <c r="AH12" s="534"/>
      <c r="AI12" s="534"/>
      <c r="AJ12" s="534"/>
      <c r="AK12" s="300"/>
      <c r="AL12" s="534"/>
      <c r="AM12" s="238"/>
      <c r="AO12" s="1548"/>
      <c r="AP12" s="1548" t="str">
        <f t="shared" si="0"/>
        <v>Добавить схему подключения</v>
      </c>
      <c r="AQ12" s="1548"/>
      <c r="AR12" s="1548"/>
      <c r="AS12" s="1555">
        <v>0</v>
      </c>
    </row>
    <row r="13" spans="1:45" s="1566" customFormat="1" ht="0.75" hidden="1" customHeight="1">
      <c r="A13" s="1866"/>
      <c r="B13" s="1866"/>
      <c r="C13" s="1866"/>
      <c r="D13" s="1866"/>
      <c r="E13" s="4060"/>
      <c r="F13" s="4060"/>
      <c r="G13" s="4059"/>
      <c r="H13" s="1866"/>
      <c r="I13" s="1866"/>
      <c r="J13" s="1866"/>
      <c r="K13" s="1866"/>
      <c r="L13" s="1304"/>
      <c r="M13" s="1534"/>
      <c r="N13" s="1534"/>
      <c r="O13" s="1559"/>
      <c r="P13" s="1240"/>
      <c r="Q13" s="1241"/>
      <c r="R13" s="1240"/>
      <c r="S13" s="1242"/>
      <c r="T13" s="1243" t="s">
        <v>235</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866"/>
      <c r="B14" s="1866"/>
      <c r="C14" s="1866"/>
      <c r="D14" s="1866"/>
      <c r="E14" s="4060"/>
      <c r="F14" s="4059"/>
      <c r="G14" s="1866"/>
      <c r="H14" s="1866"/>
      <c r="I14" s="1866"/>
      <c r="J14" s="1866"/>
      <c r="K14" s="1866"/>
      <c r="L14" s="1304"/>
      <c r="M14" s="1867"/>
      <c r="N14" s="1867"/>
      <c r="O14" s="1559"/>
      <c r="P14" s="1240"/>
      <c r="Q14" s="1241"/>
      <c r="R14" s="1240"/>
      <c r="S14" s="1246"/>
      <c r="T14" s="1247" t="s">
        <v>236</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866"/>
      <c r="B15" s="1866"/>
      <c r="C15" s="1866"/>
      <c r="D15" s="1866"/>
      <c r="E15" s="4059"/>
      <c r="F15" s="1866"/>
      <c r="G15" s="1866"/>
      <c r="H15" s="1866"/>
      <c r="I15" s="1866"/>
      <c r="J15" s="1866"/>
      <c r="K15" s="1866"/>
      <c r="L15" s="1304"/>
      <c r="M15" s="1867"/>
      <c r="N15" s="1867"/>
      <c r="O15" s="1559"/>
      <c r="P15" s="1240"/>
      <c r="Q15" s="1241"/>
      <c r="R15" s="1240"/>
      <c r="S15" s="1246"/>
      <c r="T15" s="1249" t="s">
        <v>286</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4031"/>
      <c r="AI17" s="4030" t="s">
        <v>53</v>
      </c>
      <c r="AJ17" s="4031"/>
      <c r="AK17" s="4030" t="s">
        <v>53</v>
      </c>
      <c r="AS17" s="1555">
        <v>0</v>
      </c>
    </row>
    <row r="18" spans="1:45" ht="14.25" hidden="1" customHeight="1">
      <c r="AD18" s="1284"/>
      <c r="AE18" s="1284"/>
      <c r="AF18" s="1284"/>
      <c r="AG18" s="263" t="str">
        <f>AH17&amp;"-"&amp;AJ17</f>
        <v>-</v>
      </c>
      <c r="AH18" s="4030"/>
      <c r="AI18" s="4030"/>
      <c r="AJ18" s="4030"/>
      <c r="AK18" s="4030"/>
      <c r="AS18" s="1555">
        <v>0</v>
      </c>
    </row>
    <row r="19" spans="1:45" ht="14.25" hidden="1" customHeight="1">
      <c r="AS19" s="1555">
        <v>0</v>
      </c>
    </row>
    <row r="20" spans="1:45" s="1290" customFormat="1" ht="14.25" hidden="1" customHeight="1">
      <c r="A20" s="1555"/>
      <c r="B20" s="1555"/>
      <c r="C20" s="1555"/>
      <c r="D20" s="1555"/>
      <c r="E20" s="1555"/>
      <c r="F20" s="1555"/>
      <c r="G20" s="1555"/>
      <c r="H20" s="1555"/>
      <c r="I20" s="1555"/>
      <c r="J20" s="1555"/>
      <c r="K20" s="1555"/>
      <c r="L20" s="1831"/>
      <c r="M20" s="1857"/>
      <c r="N20" s="1857"/>
      <c r="O20" s="1269" t="s">
        <v>622</v>
      </c>
      <c r="P20" s="1286"/>
      <c r="Q20" s="1295"/>
      <c r="R20" s="1295"/>
      <c r="S20" s="663"/>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31"/>
      <c r="M21" s="1857"/>
      <c r="N21" s="1857"/>
      <c r="O21" s="1857"/>
      <c r="P21" s="1286"/>
      <c r="Q21" s="1295"/>
      <c r="R21" s="1295"/>
      <c r="S21" s="663"/>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31"/>
      <c r="M22" s="1857"/>
      <c r="N22" s="1857"/>
      <c r="O22" s="1234" t="s">
        <v>623</v>
      </c>
      <c r="P22" s="1286"/>
      <c r="Q22" s="1295"/>
      <c r="R22" s="1295"/>
      <c r="S22" s="663"/>
      <c r="T22" s="1290" t="s">
        <v>624</v>
      </c>
      <c r="AA22" s="529" t="s">
        <v>625</v>
      </c>
      <c r="AC22" s="529" t="s">
        <v>626</v>
      </c>
      <c r="AD22" s="1290" t="s">
        <v>624</v>
      </c>
      <c r="AI22" s="529" t="s">
        <v>627</v>
      </c>
      <c r="AK22" s="529" t="s">
        <v>626</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0"/>
      <c r="R25" s="310"/>
      <c r="S25" s="1199"/>
      <c r="T25" s="391"/>
      <c r="U25" s="391"/>
      <c r="AS25" s="1555">
        <v>14</v>
      </c>
    </row>
    <row r="26" spans="1:45" ht="14.65" customHeight="1">
      <c r="Q26" s="310"/>
      <c r="R26" s="310"/>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67"/>
      <c r="AS26" s="1555">
        <v>14</v>
      </c>
    </row>
    <row r="27" spans="1:45" ht="14.65" customHeight="1">
      <c r="Q27" s="310"/>
      <c r="R27" s="310"/>
      <c r="S27" s="3987" t="str">
        <f>IF(org=0,"Не определено",org)</f>
        <v>ООО "Смоленскрегионтеплоэнерго"</v>
      </c>
      <c r="T27" s="3987"/>
      <c r="U27" s="3987"/>
      <c r="V27" s="3987"/>
      <c r="W27" s="3987"/>
      <c r="X27" s="3987"/>
      <c r="Y27" s="3987"/>
      <c r="Z27" s="3987"/>
      <c r="AA27" s="3987"/>
      <c r="AB27" s="3987"/>
      <c r="AC27" s="3987"/>
      <c r="AD27" s="3987"/>
      <c r="AE27" s="3987"/>
      <c r="AF27" s="3987"/>
      <c r="AG27" s="3987"/>
      <c r="AH27" s="3987"/>
      <c r="AI27" s="3987"/>
      <c r="AJ27" s="3987"/>
      <c r="AK27" s="1167"/>
      <c r="AS27" s="1555">
        <v>14</v>
      </c>
    </row>
    <row r="28" spans="1:45" ht="14.25" hidden="1" customHeight="1">
      <c r="Q28" s="310"/>
      <c r="R28" s="310"/>
      <c r="S28" s="1199"/>
      <c r="T28" s="391"/>
      <c r="U28" s="391"/>
      <c r="V28" s="257"/>
      <c r="W28" s="257"/>
      <c r="X28" s="257"/>
      <c r="Y28" s="257"/>
      <c r="Z28" s="257"/>
      <c r="AA28" s="257"/>
      <c r="AB28" s="257"/>
      <c r="AC28" s="257"/>
      <c r="AD28" s="257"/>
      <c r="AE28" s="257"/>
      <c r="AF28" s="257"/>
      <c r="AG28" s="257"/>
      <c r="AH28" s="257"/>
      <c r="AI28" s="257"/>
      <c r="AJ28" s="257"/>
      <c r="AK28" s="257"/>
      <c r="AS28" s="1555">
        <v>0</v>
      </c>
    </row>
    <row r="29" spans="1:45" s="1748" customFormat="1" ht="25.5" hidden="1" customHeight="1">
      <c r="A29" s="1172"/>
      <c r="B29" s="1172"/>
      <c r="C29" s="1172"/>
      <c r="D29" s="1172"/>
      <c r="E29" s="1172"/>
      <c r="F29" s="1172"/>
      <c r="G29" s="1172"/>
      <c r="H29" s="1172"/>
      <c r="I29" s="1172"/>
      <c r="J29" s="1172"/>
      <c r="K29" s="1172"/>
      <c r="L29" s="1304"/>
      <c r="M29" s="1172"/>
      <c r="N29" s="1172"/>
      <c r="O29" s="1172"/>
      <c r="S29" s="4024" t="s">
        <v>29</v>
      </c>
      <c r="T29" s="4024"/>
      <c r="U29" s="1296"/>
      <c r="V29" s="4026" t="str">
        <f>IF(TITLE_NAME_OR_PR_CHANGE="",IF(TITLE_NAME_OR_PR="","",TITLE_NAME_OR_PR),TITLE_NAME_OR_PR_CHANGE)</f>
        <v/>
      </c>
      <c r="W29" s="4026"/>
      <c r="X29" s="4026"/>
      <c r="Y29" s="4026"/>
      <c r="Z29" s="4026"/>
      <c r="AA29" s="4026"/>
      <c r="AB29" s="4026"/>
      <c r="AC29" s="1559"/>
      <c r="AD29" s="4026" t="str">
        <f>IF(TITLE_NAME_OR_PR_CHANGE="",IF(TITLE_NAME_OR_PR="","",TITLE_NAME_OR_PR),TITLE_NAME_OR_PR_CHANGE)</f>
        <v/>
      </c>
      <c r="AE29" s="4026"/>
      <c r="AF29" s="4026"/>
      <c r="AG29" s="4026"/>
      <c r="AH29" s="4026"/>
      <c r="AI29" s="4026"/>
      <c r="AJ29" s="4026"/>
      <c r="AK29" s="1559"/>
      <c r="AL29" s="1559"/>
      <c r="AM29" s="215"/>
      <c r="AN29" s="302"/>
      <c r="AO29" s="302"/>
      <c r="AP29" s="302"/>
      <c r="AQ29" s="302"/>
      <c r="AR29" s="302"/>
      <c r="AS29" s="352">
        <v>0</v>
      </c>
    </row>
    <row r="30" spans="1:45" s="1748" customFormat="1" ht="18.75" hidden="1" customHeight="1">
      <c r="A30" s="1172"/>
      <c r="B30" s="1172"/>
      <c r="C30" s="1172"/>
      <c r="D30" s="1172"/>
      <c r="E30" s="1172"/>
      <c r="F30" s="1172"/>
      <c r="G30" s="1172"/>
      <c r="H30" s="1172"/>
      <c r="I30" s="1172"/>
      <c r="J30" s="1172"/>
      <c r="K30" s="1172"/>
      <c r="L30" s="1304"/>
      <c r="M30" s="1172"/>
      <c r="N30" s="1172"/>
      <c r="O30" s="1172"/>
      <c r="S30" s="4024" t="s">
        <v>628</v>
      </c>
      <c r="T30" s="4024"/>
      <c r="U30" s="1296"/>
      <c r="V30" s="4025">
        <f>IF(TITLE_DATE_PR_CHANGE="",IF(TITLE_DATE_PR="","",TITLE_DATE_PR),TITLE_DATE_PR_CHANGE)</f>
        <v>45765</v>
      </c>
      <c r="W30" s="4025"/>
      <c r="X30" s="4025"/>
      <c r="Y30" s="4025"/>
      <c r="Z30" s="4025"/>
      <c r="AA30" s="4025"/>
      <c r="AB30" s="4025"/>
      <c r="AC30" s="1559"/>
      <c r="AD30" s="4025">
        <f>IF(TITLE_DATE_PR_CHANGE="",IF(TITLE_DATE_PR="","",TITLE_DATE_PR),TITLE_DATE_PR_CHANGE)</f>
        <v>45765</v>
      </c>
      <c r="AE30" s="4025"/>
      <c r="AF30" s="4025"/>
      <c r="AG30" s="4025"/>
      <c r="AH30" s="4025"/>
      <c r="AI30" s="4025"/>
      <c r="AJ30" s="4025"/>
      <c r="AK30" s="1559"/>
      <c r="AL30" s="1559"/>
      <c r="AM30" s="215"/>
      <c r="AN30" s="302"/>
      <c r="AO30" s="302"/>
      <c r="AP30" s="302"/>
      <c r="AQ30" s="302"/>
      <c r="AR30" s="302"/>
      <c r="AS30" s="352">
        <v>0</v>
      </c>
    </row>
    <row r="31" spans="1:45" s="1748" customFormat="1" ht="18.75" hidden="1" customHeight="1">
      <c r="A31" s="1172"/>
      <c r="B31" s="1172"/>
      <c r="C31" s="1172"/>
      <c r="D31" s="1172"/>
      <c r="E31" s="1172"/>
      <c r="F31" s="1172"/>
      <c r="G31" s="1172"/>
      <c r="H31" s="1172"/>
      <c r="I31" s="1172"/>
      <c r="J31" s="1172"/>
      <c r="K31" s="1172"/>
      <c r="L31" s="1304"/>
      <c r="M31" s="1172"/>
      <c r="N31" s="1172"/>
      <c r="O31" s="1172"/>
      <c r="S31" s="4024" t="s">
        <v>629</v>
      </c>
      <c r="T31" s="4024"/>
      <c r="U31" s="1296"/>
      <c r="V31" s="4026" t="str">
        <f>IF(TITLE_NUMBER_PR_CHANGE="",IF(TITLE_NUMBER_PR="","",TITLE_NUMBER_PR),TITLE_NUMBER_PR_CHANGE)</f>
        <v>917</v>
      </c>
      <c r="W31" s="4026"/>
      <c r="X31" s="4026"/>
      <c r="Y31" s="4026"/>
      <c r="Z31" s="4026"/>
      <c r="AA31" s="4026"/>
      <c r="AB31" s="4026"/>
      <c r="AC31" s="1559"/>
      <c r="AD31" s="4026" t="str">
        <f>IF(TITLE_NUMBER_PR_CHANGE="",IF(TITLE_NUMBER_PR="","",TITLE_NUMBER_PR),TITLE_NUMBER_PR_CHANGE)</f>
        <v>917</v>
      </c>
      <c r="AE31" s="4026"/>
      <c r="AF31" s="4026"/>
      <c r="AG31" s="4026"/>
      <c r="AH31" s="4026"/>
      <c r="AI31" s="4026"/>
      <c r="AJ31" s="4026"/>
      <c r="AK31" s="1559"/>
      <c r="AL31" s="1559"/>
      <c r="AM31" s="215"/>
      <c r="AN31" s="302"/>
      <c r="AO31" s="302"/>
      <c r="AP31" s="302"/>
      <c r="AQ31" s="302"/>
      <c r="AR31" s="302"/>
      <c r="AS31" s="352">
        <v>0</v>
      </c>
    </row>
    <row r="32" spans="1:45" s="1748" customFormat="1" ht="18.75" hidden="1" customHeight="1">
      <c r="A32" s="1172"/>
      <c r="B32" s="1172"/>
      <c r="C32" s="1172"/>
      <c r="D32" s="1172"/>
      <c r="E32" s="1172"/>
      <c r="F32" s="1172"/>
      <c r="G32" s="1172"/>
      <c r="H32" s="1172"/>
      <c r="I32" s="1172"/>
      <c r="J32" s="1172"/>
      <c r="K32" s="1172"/>
      <c r="L32" s="1304"/>
      <c r="M32" s="1172"/>
      <c r="N32" s="1172"/>
      <c r="O32" s="1172"/>
      <c r="S32" s="4024" t="s">
        <v>30</v>
      </c>
      <c r="T32" s="4024"/>
      <c r="U32" s="1296"/>
      <c r="V32" s="4026" t="str">
        <f>IF(TITLE_IST_PUB_CHANGE="",IF(TITLE_IST_PUB="","",TITLE_IST_PUB),TITLE_IST_PUB_CHANGE)</f>
        <v/>
      </c>
      <c r="W32" s="4026"/>
      <c r="X32" s="4026"/>
      <c r="Y32" s="4026"/>
      <c r="Z32" s="4026"/>
      <c r="AA32" s="4026"/>
      <c r="AB32" s="4026"/>
      <c r="AC32" s="1559"/>
      <c r="AD32" s="4026" t="str">
        <f>IF(TITLE_IST_PUB_CHANGE="",IF(TITLE_IST_PUB="","",TITLE_IST_PUB),TITLE_IST_PUB_CHANGE)</f>
        <v/>
      </c>
      <c r="AE32" s="4026"/>
      <c r="AF32" s="4026"/>
      <c r="AG32" s="4026"/>
      <c r="AH32" s="4026"/>
      <c r="AI32" s="4026"/>
      <c r="AJ32" s="4026"/>
      <c r="AK32" s="1559"/>
      <c r="AL32" s="1559"/>
      <c r="AM32" s="215"/>
      <c r="AN32" s="302"/>
      <c r="AO32" s="302"/>
      <c r="AP32" s="302"/>
      <c r="AQ32" s="302"/>
      <c r="AR32" s="302"/>
      <c r="AS32" s="352">
        <v>0</v>
      </c>
    </row>
    <row r="33" spans="1:45" ht="14.25" hidden="1" customHeight="1">
      <c r="Q33" s="310"/>
      <c r="R33" s="310"/>
      <c r="S33" s="1199"/>
      <c r="T33" s="391"/>
      <c r="U33" s="391"/>
      <c r="V33" s="257"/>
      <c r="W33" s="257"/>
      <c r="X33" s="257"/>
      <c r="Y33" s="257"/>
      <c r="Z33" s="257"/>
      <c r="AA33" s="257"/>
      <c r="AB33" s="257"/>
      <c r="AC33" s="257"/>
      <c r="AD33" s="257"/>
      <c r="AE33" s="257"/>
      <c r="AF33" s="257"/>
      <c r="AG33" s="257"/>
      <c r="AH33" s="257"/>
      <c r="AI33" s="257"/>
      <c r="AJ33" s="257"/>
      <c r="AK33" s="257"/>
      <c r="AS33" s="1555">
        <v>0</v>
      </c>
    </row>
    <row r="34" spans="1:45" s="1748" customFormat="1" ht="18.75" hidden="1" customHeight="1">
      <c r="A34" s="1172"/>
      <c r="B34" s="1172"/>
      <c r="C34" s="1172"/>
      <c r="D34" s="1172"/>
      <c r="E34" s="1172"/>
      <c r="F34" s="1172"/>
      <c r="G34" s="1172"/>
      <c r="H34" s="1172"/>
      <c r="I34" s="1172"/>
      <c r="J34" s="1172"/>
      <c r="K34" s="1172"/>
      <c r="L34" s="1304"/>
      <c r="M34" s="1172"/>
      <c r="N34" s="1172"/>
      <c r="O34" s="1172"/>
      <c r="S34" s="4024" t="s">
        <v>630</v>
      </c>
      <c r="T34" s="4024"/>
      <c r="U34" s="1296"/>
      <c r="V34" s="4025">
        <f>IF(TITLE_DATE_PR_CHANGE="",IF(TITLE_DATE_PR="","",TITLE_DATE_PR),TITLE_DATE_PR_CHANGE)</f>
        <v>45765</v>
      </c>
      <c r="W34" s="4025"/>
      <c r="X34" s="4025"/>
      <c r="Y34" s="4025"/>
      <c r="Z34" s="4025"/>
      <c r="AA34" s="4025"/>
      <c r="AB34" s="4025"/>
      <c r="AC34" s="1559"/>
      <c r="AD34" s="4025">
        <f>IF(TITLE_DATE_PR_CHANGE="",IF(TITLE_DATE_PR="","",TITLE_DATE_PR),TITLE_DATE_PR_CHANGE)</f>
        <v>45765</v>
      </c>
      <c r="AE34" s="4025"/>
      <c r="AF34" s="4025"/>
      <c r="AG34" s="4025"/>
      <c r="AH34" s="4025"/>
      <c r="AI34" s="4025"/>
      <c r="AJ34" s="4025"/>
      <c r="AK34" s="1559"/>
      <c r="AL34" s="1559"/>
      <c r="AM34" s="215"/>
      <c r="AN34" s="302"/>
      <c r="AO34" s="302"/>
      <c r="AP34" s="302"/>
      <c r="AQ34" s="302"/>
      <c r="AR34" s="302"/>
      <c r="AS34" s="352">
        <v>0</v>
      </c>
    </row>
    <row r="35" spans="1:45" s="1748" customFormat="1" ht="18.75" hidden="1" customHeight="1">
      <c r="A35" s="1172"/>
      <c r="B35" s="1172"/>
      <c r="C35" s="1172"/>
      <c r="D35" s="1172"/>
      <c r="E35" s="1172"/>
      <c r="F35" s="1172"/>
      <c r="G35" s="1172"/>
      <c r="H35" s="1172"/>
      <c r="I35" s="1172"/>
      <c r="J35" s="1172"/>
      <c r="K35" s="1172"/>
      <c r="L35" s="1304"/>
      <c r="M35" s="1172"/>
      <c r="N35" s="1172"/>
      <c r="O35" s="1172"/>
      <c r="S35" s="4024" t="s">
        <v>631</v>
      </c>
      <c r="T35" s="4024"/>
      <c r="U35" s="1296"/>
      <c r="V35" s="4026" t="str">
        <f>IF(TITLE_NUMBER_PR_CHANGE="",IF(TITLE_NUMBER_PR="","",TITLE_NUMBER_PR),TITLE_NUMBER_PR_CHANGE)</f>
        <v>917</v>
      </c>
      <c r="W35" s="4026"/>
      <c r="X35" s="4026"/>
      <c r="Y35" s="4026"/>
      <c r="Z35" s="4026"/>
      <c r="AA35" s="4026"/>
      <c r="AB35" s="4026"/>
      <c r="AC35" s="1559"/>
      <c r="AD35" s="4026" t="str">
        <f>IF(TITLE_NUMBER_PR_CHANGE="",IF(TITLE_NUMBER_PR="","",TITLE_NUMBER_PR),TITLE_NUMBER_PR_CHANGE)</f>
        <v>917</v>
      </c>
      <c r="AE35" s="4026"/>
      <c r="AF35" s="4026"/>
      <c r="AG35" s="4026"/>
      <c r="AH35" s="4026"/>
      <c r="AI35" s="4026"/>
      <c r="AJ35" s="4026"/>
      <c r="AK35" s="1559"/>
      <c r="AL35" s="1559"/>
      <c r="AM35" s="215"/>
      <c r="AN35" s="302"/>
      <c r="AO35" s="302"/>
      <c r="AP35" s="302"/>
      <c r="AQ35" s="302"/>
      <c r="AR35" s="302"/>
      <c r="AS35" s="352">
        <v>0</v>
      </c>
    </row>
    <row r="36" spans="1:45" s="1748" customFormat="1" ht="0" hidden="1" customHeight="1">
      <c r="A36" s="1172"/>
      <c r="B36" s="1172"/>
      <c r="C36" s="1172"/>
      <c r="D36" s="1172"/>
      <c r="E36" s="1172"/>
      <c r="F36" s="1172"/>
      <c r="G36" s="1172"/>
      <c r="H36" s="1172"/>
      <c r="I36" s="1172"/>
      <c r="J36" s="1172"/>
      <c r="K36" s="1172"/>
      <c r="L36" s="1304"/>
      <c r="M36" s="1172"/>
      <c r="N36" s="1172"/>
      <c r="O36" s="1172"/>
      <c r="S36" s="1559"/>
      <c r="T36" s="1559"/>
      <c r="U36" s="1862"/>
      <c r="V36" s="1559"/>
      <c r="W36" s="1559"/>
      <c r="X36" s="1559"/>
      <c r="Y36" s="1559"/>
      <c r="Z36" s="1559"/>
      <c r="AA36" s="1559"/>
      <c r="AB36" s="1559"/>
      <c r="AC36" s="1566" t="s">
        <v>632</v>
      </c>
      <c r="AD36" s="1559"/>
      <c r="AE36" s="1559"/>
      <c r="AF36" s="1559"/>
      <c r="AG36" s="1559"/>
      <c r="AH36" s="1559"/>
      <c r="AI36" s="1559"/>
      <c r="AJ36" s="1559"/>
      <c r="AK36" s="1566" t="s">
        <v>632</v>
      </c>
      <c r="AN36" s="302"/>
      <c r="AO36" s="302"/>
      <c r="AP36" s="302"/>
      <c r="AQ36" s="302"/>
      <c r="AR36" s="302"/>
      <c r="AS36" s="352">
        <v>0</v>
      </c>
    </row>
    <row r="37" spans="1:45" ht="14.65" customHeight="1">
      <c r="Q37" s="310"/>
      <c r="R37" s="310"/>
      <c r="S37" s="1199"/>
      <c r="T37" s="391"/>
      <c r="U37" s="1168"/>
      <c r="V37" s="4045"/>
      <c r="W37" s="4045"/>
      <c r="X37" s="4045"/>
      <c r="Y37" s="4045"/>
      <c r="Z37" s="4045"/>
      <c r="AA37" s="4045"/>
      <c r="AB37" s="4045"/>
      <c r="AC37" s="4045"/>
      <c r="AD37" s="4045"/>
      <c r="AE37" s="4045"/>
      <c r="AF37" s="4045"/>
      <c r="AG37" s="4045"/>
      <c r="AH37" s="4045"/>
      <c r="AI37" s="4045"/>
      <c r="AJ37" s="4045"/>
      <c r="AK37" s="4045"/>
      <c r="AS37" s="1555">
        <v>14</v>
      </c>
    </row>
    <row r="38" spans="1:45" ht="14.65" customHeight="1">
      <c r="Q38" s="310"/>
      <c r="R38" s="310"/>
      <c r="S38" s="3889" t="s">
        <v>508</v>
      </c>
      <c r="T38" s="3889"/>
      <c r="U38" s="3889"/>
      <c r="V38" s="3889"/>
      <c r="W38" s="3889"/>
      <c r="X38" s="3889"/>
      <c r="Y38" s="3889"/>
      <c r="Z38" s="3889"/>
      <c r="AA38" s="3889"/>
      <c r="AB38" s="3889"/>
      <c r="AC38" s="3889"/>
      <c r="AD38" s="3889"/>
      <c r="AE38" s="3889"/>
      <c r="AF38" s="3889"/>
      <c r="AG38" s="3889"/>
      <c r="AH38" s="3889"/>
      <c r="AI38" s="3889"/>
      <c r="AJ38" s="3889"/>
      <c r="AK38" s="3889"/>
      <c r="AL38" s="3889"/>
      <c r="AM38" s="3889" t="s">
        <v>509</v>
      </c>
      <c r="AS38" s="1555">
        <v>14</v>
      </c>
    </row>
    <row r="39" spans="1:45" ht="14.65" customHeight="1">
      <c r="Q39" s="310"/>
      <c r="R39" s="310"/>
      <c r="S39" s="4046" t="s">
        <v>75</v>
      </c>
      <c r="T39" s="3995" t="s">
        <v>633</v>
      </c>
      <c r="U39" s="272"/>
      <c r="V39" s="4047" t="s">
        <v>634</v>
      </c>
      <c r="W39" s="4048"/>
      <c r="X39" s="4048"/>
      <c r="Y39" s="4048"/>
      <c r="Z39" s="4048"/>
      <c r="AA39" s="4048"/>
      <c r="AB39" s="4049"/>
      <c r="AC39" s="4050" t="s">
        <v>635</v>
      </c>
      <c r="AD39" s="4047" t="s">
        <v>634</v>
      </c>
      <c r="AE39" s="4048"/>
      <c r="AF39" s="4048"/>
      <c r="AG39" s="4048"/>
      <c r="AH39" s="4048"/>
      <c r="AI39" s="4048"/>
      <c r="AJ39" s="4049"/>
      <c r="AK39" s="4050" t="s">
        <v>636</v>
      </c>
      <c r="AL39" s="4053" t="s">
        <v>637</v>
      </c>
      <c r="AM39" s="3889"/>
      <c r="AS39" s="1555">
        <v>14</v>
      </c>
    </row>
    <row r="40" spans="1:45" ht="35.65" customHeight="1">
      <c r="Q40" s="310"/>
      <c r="R40" s="310"/>
      <c r="S40" s="4046"/>
      <c r="T40" s="3995"/>
      <c r="U40" s="958"/>
      <c r="V40" s="3967" t="s">
        <v>638</v>
      </c>
      <c r="W40" s="4042" t="s">
        <v>639</v>
      </c>
      <c r="X40" s="3870" t="s">
        <v>640</v>
      </c>
      <c r="Y40" s="3869"/>
      <c r="Z40" s="3870" t="s">
        <v>653</v>
      </c>
      <c r="AA40" s="3875"/>
      <c r="AB40" s="3869"/>
      <c r="AC40" s="4051"/>
      <c r="AD40" s="3967" t="s">
        <v>638</v>
      </c>
      <c r="AE40" s="4042" t="s">
        <v>639</v>
      </c>
      <c r="AF40" s="3870" t="s">
        <v>640</v>
      </c>
      <c r="AG40" s="3869"/>
      <c r="AH40" s="3870" t="s">
        <v>641</v>
      </c>
      <c r="AI40" s="3875"/>
      <c r="AJ40" s="3869"/>
      <c r="AK40" s="4051"/>
      <c r="AL40" s="4054"/>
      <c r="AM40" s="3889"/>
      <c r="AS40" s="1555">
        <v>34</v>
      </c>
    </row>
    <row r="41" spans="1:45" ht="35.65" customHeight="1">
      <c r="A41" s="1190"/>
      <c r="B41" s="1190" t="s">
        <v>207</v>
      </c>
      <c r="C41" s="1190" t="s">
        <v>208</v>
      </c>
      <c r="D41" s="1190" t="s">
        <v>209</v>
      </c>
      <c r="E41" s="1234" t="s">
        <v>642</v>
      </c>
      <c r="F41" s="1234" t="s">
        <v>643</v>
      </c>
      <c r="G41" s="1234" t="s">
        <v>644</v>
      </c>
      <c r="H41" s="1234" t="s">
        <v>645</v>
      </c>
      <c r="I41" s="1234" t="s">
        <v>646</v>
      </c>
      <c r="J41" s="1234" t="s">
        <v>647</v>
      </c>
      <c r="K41" s="1234" t="s">
        <v>648</v>
      </c>
      <c r="L41" s="1234" t="s">
        <v>623</v>
      </c>
      <c r="Q41" s="310"/>
      <c r="R41" s="310"/>
      <c r="S41" s="4046"/>
      <c r="T41" s="3995"/>
      <c r="U41" s="237"/>
      <c r="V41" s="4019"/>
      <c r="W41" s="4043"/>
      <c r="X41" s="1830" t="s">
        <v>649</v>
      </c>
      <c r="Y41" s="1830" t="s">
        <v>650</v>
      </c>
      <c r="Z41" s="1830" t="s">
        <v>651</v>
      </c>
      <c r="AA41" s="4000" t="s">
        <v>652</v>
      </c>
      <c r="AB41" s="4013"/>
      <c r="AC41" s="4052"/>
      <c r="AD41" s="4019"/>
      <c r="AE41" s="4043"/>
      <c r="AF41" s="1830" t="s">
        <v>649</v>
      </c>
      <c r="AG41" s="1830" t="s">
        <v>650</v>
      </c>
      <c r="AH41" s="1830" t="s">
        <v>651</v>
      </c>
      <c r="AI41" s="4000" t="s">
        <v>652</v>
      </c>
      <c r="AJ41" s="4013"/>
      <c r="AK41" s="4052"/>
      <c r="AL41" s="4055"/>
      <c r="AM41" s="3889"/>
      <c r="AS41" s="1555">
        <v>34</v>
      </c>
    </row>
    <row r="42" spans="1:45" s="1565" customFormat="1" ht="11.25" hidden="1" customHeight="1">
      <c r="A42" s="1190"/>
      <c r="B42" s="1190"/>
      <c r="C42" s="1190"/>
      <c r="D42" s="1190"/>
      <c r="E42" s="1190"/>
      <c r="F42" s="1190"/>
      <c r="G42" s="1190"/>
      <c r="H42" s="1190"/>
      <c r="I42" s="1190"/>
      <c r="J42" s="1190"/>
      <c r="K42" s="1190"/>
      <c r="L42" s="1234"/>
      <c r="M42" s="1857"/>
      <c r="N42" s="1857"/>
      <c r="O42" s="1857"/>
      <c r="P42" s="1170"/>
      <c r="Q42" s="1171"/>
      <c r="R42" s="1178">
        <v>1</v>
      </c>
      <c r="S42" s="1201" t="s">
        <v>184</v>
      </c>
      <c r="T42" s="1179" t="s">
        <v>89</v>
      </c>
      <c r="U42" s="1169" t="str">
        <f ca="1">OFFSET(U42,0,-1)</f>
        <v>2</v>
      </c>
      <c r="V42" s="1848">
        <f ca="1">OFFSET(V42,0,-1)+1</f>
        <v>3</v>
      </c>
      <c r="W42" s="1848"/>
      <c r="X42" s="1848">
        <f ca="1">OFFSET(X42,0,-1)+1</f>
        <v>1</v>
      </c>
      <c r="Y42" s="1848">
        <f ca="1">OFFSET(Y42,0,-1)+1</f>
        <v>2</v>
      </c>
      <c r="Z42" s="1848">
        <f ca="1">OFFSET(Z42,0,-1)+1</f>
        <v>3</v>
      </c>
      <c r="AA42" s="4044">
        <f ca="1">OFFSET(AA42,0,-1)+1</f>
        <v>4</v>
      </c>
      <c r="AB42" s="4044"/>
      <c r="AC42" s="1848">
        <f ca="1">OFFSET(AC42,0,-2)+1</f>
        <v>5</v>
      </c>
      <c r="AD42" s="1848">
        <f ca="1">OFFSET(AD42,0,-1)+1</f>
        <v>6</v>
      </c>
      <c r="AE42" s="1848"/>
      <c r="AF42" s="1848">
        <f ca="1">OFFSET(AF42,0,-1)+1</f>
        <v>1</v>
      </c>
      <c r="AG42" s="1848">
        <f ca="1">OFFSET(AG42,0,-1)+1</f>
        <v>2</v>
      </c>
      <c r="AH42" s="1848">
        <f ca="1">OFFSET(AH42,0,-1)+1</f>
        <v>3</v>
      </c>
      <c r="AI42" s="4044">
        <f ca="1">OFFSET(AI42,0,-1)+1</f>
        <v>4</v>
      </c>
      <c r="AJ42" s="4044"/>
      <c r="AK42" s="1848">
        <f ca="1">OFFSET(AK42,0,-2)+1</f>
        <v>5</v>
      </c>
      <c r="AL42" s="1169">
        <f ca="1">OFFSET(AL42,0,-1)</f>
        <v>5</v>
      </c>
      <c r="AM42" s="1848">
        <f ca="1">OFFSET(AM42,0,-1)+1</f>
        <v>6</v>
      </c>
      <c r="AN42" s="1560"/>
      <c r="AO42" s="1560"/>
      <c r="AP42" s="1560"/>
      <c r="AQ42" s="1560"/>
      <c r="AR42" s="1560"/>
      <c r="AS42" s="1565">
        <v>0</v>
      </c>
    </row>
    <row r="43" spans="1:45" ht="21.95" customHeight="1">
      <c r="A43" s="1191" t="s">
        <v>420</v>
      </c>
      <c r="B43" s="1191"/>
      <c r="C43" s="1191"/>
      <c r="D43" s="1191"/>
      <c r="E43" s="4059">
        <v>1</v>
      </c>
      <c r="F43" s="1191"/>
      <c r="G43" s="1191"/>
      <c r="H43" s="1191"/>
      <c r="I43" s="1191"/>
      <c r="J43" s="1191"/>
      <c r="K43" s="1191"/>
      <c r="L43" s="1234"/>
      <c r="M43" s="1534"/>
      <c r="N43" s="1534"/>
      <c r="O43" s="1534"/>
      <c r="P43" s="1514"/>
      <c r="Q43" s="294"/>
      <c r="R43" s="289"/>
      <c r="S43" s="1850">
        <f>INDEX(PT_DIFFERENTIATION_NUM_NTAR,MATCH(A43,PT_DIFFERENTIATION_NTAR_ID,0))</f>
        <v>0</v>
      </c>
      <c r="T43" s="1449" t="s">
        <v>195</v>
      </c>
      <c r="U43" s="235"/>
      <c r="V43" s="4027"/>
      <c r="W43" s="4028"/>
      <c r="X43" s="4028"/>
      <c r="Y43" s="4028"/>
      <c r="Z43" s="4028"/>
      <c r="AA43" s="4028"/>
      <c r="AB43" s="4028"/>
      <c r="AC43" s="4029"/>
      <c r="AD43" s="4027" t="str">
        <f>INDEX(PT_DIFFERENTIATION_NTAR,MATCH(A43,PT_DIFFERENTIATION_NTAR_ID,0))</f>
        <v/>
      </c>
      <c r="AE43" s="4028"/>
      <c r="AF43" s="4028"/>
      <c r="AG43" s="4028"/>
      <c r="AH43" s="4028"/>
      <c r="AI43" s="4028"/>
      <c r="AJ43" s="4028"/>
      <c r="AK43" s="4028"/>
      <c r="AL43" s="4029"/>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420</v>
      </c>
      <c r="B44" s="1191" t="s">
        <v>421</v>
      </c>
      <c r="C44" s="1191"/>
      <c r="D44" s="1191"/>
      <c r="E44" s="4060"/>
      <c r="F44" s="4059">
        <v>1</v>
      </c>
      <c r="G44" s="1191"/>
      <c r="H44" s="1191"/>
      <c r="I44" s="1191"/>
      <c r="J44" s="1191"/>
      <c r="K44" s="1191"/>
      <c r="L44" s="1234"/>
      <c r="M44" s="1534"/>
      <c r="N44" s="1534"/>
      <c r="O44" s="1534"/>
      <c r="P44" s="1832"/>
      <c r="Q44" s="286"/>
      <c r="R44" s="287"/>
      <c r="S44" s="1850" t="str">
        <f>INDEX(PT_DIFFERENTIATION_NUM_TER,MATCH(B44,PT_DIFFERENTIATION_TER_ID,0))</f>
        <v>.</v>
      </c>
      <c r="T44" s="1446" t="s">
        <v>605</v>
      </c>
      <c r="U44" s="235"/>
      <c r="V44" s="4027"/>
      <c r="W44" s="4028"/>
      <c r="X44" s="4028"/>
      <c r="Y44" s="4028"/>
      <c r="Z44" s="4028"/>
      <c r="AA44" s="4028"/>
      <c r="AB44" s="4028"/>
      <c r="AC44" s="4029"/>
      <c r="AD44" s="4027" t="str">
        <f>INDEX(PT_DIFFERENTIATION_TER,MATCH(B44,PT_DIFFERENTIATION_TER_ID,0))</f>
        <v/>
      </c>
      <c r="AE44" s="4028"/>
      <c r="AF44" s="4028"/>
      <c r="AG44" s="4028"/>
      <c r="AH44" s="4028"/>
      <c r="AI44" s="4028"/>
      <c r="AJ44" s="4028"/>
      <c r="AK44" s="4028"/>
      <c r="AL44" s="4029"/>
      <c r="AM44" s="1182" t="s">
        <v>606</v>
      </c>
      <c r="AO44" s="1548"/>
      <c r="AP44" s="1548" t="str">
        <f t="shared" si="1"/>
        <v>Территория действия тарифа</v>
      </c>
      <c r="AQ44" s="1548"/>
      <c r="AR44" s="1548"/>
      <c r="AS44" s="1555">
        <v>21</v>
      </c>
    </row>
    <row r="45" spans="1:45" ht="24" customHeight="1">
      <c r="A45" s="1191" t="s">
        <v>420</v>
      </c>
      <c r="B45" s="1191" t="s">
        <v>421</v>
      </c>
      <c r="C45" s="1191" t="s">
        <v>422</v>
      </c>
      <c r="D45" s="1191"/>
      <c r="E45" s="4060"/>
      <c r="F45" s="4060"/>
      <c r="G45" s="4059">
        <v>1</v>
      </c>
      <c r="H45" s="1191"/>
      <c r="I45" s="1191"/>
      <c r="J45" s="1191"/>
      <c r="K45" s="1191"/>
      <c r="L45" s="1234"/>
      <c r="M45" s="1534"/>
      <c r="N45" s="1534"/>
      <c r="O45" s="1534"/>
      <c r="P45" s="288"/>
      <c r="Q45" s="286"/>
      <c r="R45" s="287"/>
      <c r="S45" s="1850" t="str">
        <f>INDEX(PT_DIFFERENTIATION_NUM_CS,MATCH(C45,PT_DIFFERENTIATION_CS_ID,0))</f>
        <v>..</v>
      </c>
      <c r="T45" s="244" t="s">
        <v>607</v>
      </c>
      <c r="U45" s="235"/>
      <c r="V45" s="4027"/>
      <c r="W45" s="4028"/>
      <c r="X45" s="4028"/>
      <c r="Y45" s="4028"/>
      <c r="Z45" s="4028"/>
      <c r="AA45" s="4028"/>
      <c r="AB45" s="4028"/>
      <c r="AC45" s="4029"/>
      <c r="AD45" s="4027" t="str">
        <f>INDEX(PT_DIFFERENTIATION_CS,MATCH(C45,PT_DIFFERENTIATION_CS_ID,0))</f>
        <v/>
      </c>
      <c r="AE45" s="4028"/>
      <c r="AF45" s="4028"/>
      <c r="AG45" s="4028"/>
      <c r="AH45" s="4028"/>
      <c r="AI45" s="4028"/>
      <c r="AJ45" s="4028"/>
      <c r="AK45" s="4028"/>
      <c r="AL45" s="4029"/>
      <c r="AM45" s="1182" t="s">
        <v>608</v>
      </c>
      <c r="AO45" s="1548"/>
      <c r="AP45" s="1548" t="str">
        <f t="shared" si="1"/>
        <v xml:space="preserve">Наименование системы теплоснабжения </v>
      </c>
      <c r="AQ45" s="1548"/>
      <c r="AR45" s="1548"/>
      <c r="AS45" s="1555">
        <v>23</v>
      </c>
    </row>
    <row r="46" spans="1:45" ht="21.95" customHeight="1">
      <c r="A46" s="1191" t="s">
        <v>420</v>
      </c>
      <c r="B46" s="1191" t="s">
        <v>421</v>
      </c>
      <c r="C46" s="1191" t="s">
        <v>422</v>
      </c>
      <c r="D46" s="1191" t="s">
        <v>423</v>
      </c>
      <c r="E46" s="4060"/>
      <c r="F46" s="4060"/>
      <c r="G46" s="4060"/>
      <c r="H46" s="4059">
        <v>1</v>
      </c>
      <c r="I46" s="1191"/>
      <c r="J46" s="1191"/>
      <c r="K46" s="1191"/>
      <c r="L46" s="1234"/>
      <c r="M46" s="1534"/>
      <c r="N46" s="1534"/>
      <c r="O46" s="1534"/>
      <c r="P46" s="288"/>
      <c r="Q46" s="286"/>
      <c r="R46" s="287"/>
      <c r="S46" s="1850" t="str">
        <f>INDEX(PT_DIFFERENTIATION_NUM_IST_TE,MATCH(D46,PT_DIFFERENTIATION_IST_TE_ID,0))</f>
        <v>...</v>
      </c>
      <c r="T46" s="245" t="s">
        <v>609</v>
      </c>
      <c r="U46" s="235"/>
      <c r="V46" s="4027"/>
      <c r="W46" s="4028"/>
      <c r="X46" s="4028"/>
      <c r="Y46" s="4028"/>
      <c r="Z46" s="4028"/>
      <c r="AA46" s="4028"/>
      <c r="AB46" s="4028"/>
      <c r="AC46" s="4029"/>
      <c r="AD46" s="4027" t="str">
        <f>INDEX(PT_DIFFERENTIATION_IST_TE,MATCH(D46,PT_DIFFERENTIATION_IST_TE_ID,0))</f>
        <v/>
      </c>
      <c r="AE46" s="4028"/>
      <c r="AF46" s="4028"/>
      <c r="AG46" s="4028"/>
      <c r="AH46" s="4028"/>
      <c r="AI46" s="4028"/>
      <c r="AJ46" s="4028"/>
      <c r="AK46" s="4028"/>
      <c r="AL46" s="4029"/>
      <c r="AM46" s="1182" t="s">
        <v>610</v>
      </c>
      <c r="AO46" s="1548"/>
      <c r="AP46" s="1548" t="str">
        <f t="shared" si="1"/>
        <v xml:space="preserve">Источник тепловой энергии  </v>
      </c>
      <c r="AQ46" s="1548"/>
      <c r="AR46" s="1548"/>
      <c r="AS46" s="1555">
        <v>21</v>
      </c>
    </row>
    <row r="47" spans="1:45" ht="49.5" customHeight="1">
      <c r="A47" s="1191" t="s">
        <v>420</v>
      </c>
      <c r="B47" s="1191" t="s">
        <v>421</v>
      </c>
      <c r="C47" s="1191" t="s">
        <v>422</v>
      </c>
      <c r="D47" s="1191" t="s">
        <v>423</v>
      </c>
      <c r="E47" s="4060"/>
      <c r="F47" s="4060"/>
      <c r="G47" s="4060"/>
      <c r="H47" s="4060"/>
      <c r="I47" s="3889" t="str">
        <f>S46&amp;".1"</f>
        <v>....1</v>
      </c>
      <c r="J47" s="1191"/>
      <c r="K47" s="1191"/>
      <c r="L47" s="1234" t="s">
        <v>611</v>
      </c>
      <c r="P47" s="4037">
        <v>1</v>
      </c>
      <c r="Q47" s="1846"/>
      <c r="R47" s="290"/>
      <c r="S47" s="1850" t="str">
        <f>$I47</f>
        <v>....1</v>
      </c>
      <c r="T47" s="220" t="s">
        <v>612</v>
      </c>
      <c r="U47" s="235"/>
      <c r="V47" s="4021"/>
      <c r="W47" s="4022"/>
      <c r="X47" s="4022"/>
      <c r="Y47" s="4022"/>
      <c r="Z47" s="4022"/>
      <c r="AA47" s="4022"/>
      <c r="AB47" s="4022"/>
      <c r="AC47" s="4023"/>
      <c r="AD47" s="4021"/>
      <c r="AE47" s="4022"/>
      <c r="AF47" s="4022"/>
      <c r="AG47" s="4022"/>
      <c r="AH47" s="4022"/>
      <c r="AI47" s="4022"/>
      <c r="AJ47" s="4022"/>
      <c r="AK47" s="4022"/>
      <c r="AL47" s="4023"/>
      <c r="AM47" s="1182" t="s">
        <v>613</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420</v>
      </c>
      <c r="B48" s="1191" t="s">
        <v>421</v>
      </c>
      <c r="C48" s="1191" t="s">
        <v>422</v>
      </c>
      <c r="D48" s="1191" t="s">
        <v>423</v>
      </c>
      <c r="E48" s="4060"/>
      <c r="F48" s="4060"/>
      <c r="G48" s="4060"/>
      <c r="H48" s="4060"/>
      <c r="I48" s="3870"/>
      <c r="J48" s="3889" t="str">
        <f>I47&amp;".1"</f>
        <v>....1.1</v>
      </c>
      <c r="K48" s="1191"/>
      <c r="L48" s="1234" t="s">
        <v>614</v>
      </c>
      <c r="P48" s="4037"/>
      <c r="Q48" s="4037">
        <v>1</v>
      </c>
      <c r="R48" s="291"/>
      <c r="S48" s="1850" t="str">
        <f>$J48</f>
        <v>....1.1</v>
      </c>
      <c r="T48" s="221" t="s">
        <v>615</v>
      </c>
      <c r="U48" s="235"/>
      <c r="V48" s="4021"/>
      <c r="W48" s="4022"/>
      <c r="X48" s="4022"/>
      <c r="Y48" s="4022"/>
      <c r="Z48" s="4022"/>
      <c r="AA48" s="4022"/>
      <c r="AB48" s="4022"/>
      <c r="AC48" s="4023"/>
      <c r="AD48" s="4021"/>
      <c r="AE48" s="4022"/>
      <c r="AF48" s="4022"/>
      <c r="AG48" s="4022"/>
      <c r="AH48" s="4022"/>
      <c r="AI48" s="4022"/>
      <c r="AJ48" s="4022"/>
      <c r="AK48" s="4022"/>
      <c r="AL48" s="4023"/>
      <c r="AM48" s="1182" t="s">
        <v>616</v>
      </c>
      <c r="AO48" s="1548"/>
      <c r="AP48" s="1548" t="str">
        <f t="shared" si="1"/>
        <v>Группа потребителей</v>
      </c>
      <c r="AQ48" s="1548"/>
      <c r="AR48" s="1548"/>
      <c r="AS48" s="1555">
        <v>21</v>
      </c>
    </row>
    <row r="49" spans="1:45" ht="21.95" customHeight="1">
      <c r="A49" s="1191" t="s">
        <v>420</v>
      </c>
      <c r="B49" s="1191" t="s">
        <v>421</v>
      </c>
      <c r="C49" s="1191" t="s">
        <v>422</v>
      </c>
      <c r="D49" s="1191" t="s">
        <v>423</v>
      </c>
      <c r="E49" s="4060"/>
      <c r="F49" s="4060"/>
      <c r="G49" s="4060"/>
      <c r="H49" s="4060"/>
      <c r="I49" s="3870"/>
      <c r="J49" s="3870"/>
      <c r="K49" s="3889" t="str">
        <f>J48&amp;".1"</f>
        <v>....1.1.1</v>
      </c>
      <c r="L49" s="1234" t="s">
        <v>617</v>
      </c>
      <c r="P49" s="4037"/>
      <c r="Q49" s="4037"/>
      <c r="R49" s="291">
        <v>1</v>
      </c>
      <c r="S49" s="1850" t="str">
        <f>$K49</f>
        <v>....1.1.1</v>
      </c>
      <c r="T49" s="1271"/>
      <c r="U49" s="235"/>
      <c r="V49" s="685"/>
      <c r="W49" s="260"/>
      <c r="X49" s="685"/>
      <c r="Y49" s="1181"/>
      <c r="Z49" s="4038"/>
      <c r="AA49" s="3899" t="s">
        <v>53</v>
      </c>
      <c r="AB49" s="4038"/>
      <c r="AC49" s="3899" t="s">
        <v>53</v>
      </c>
      <c r="AD49" s="685"/>
      <c r="AE49" s="260"/>
      <c r="AF49" s="685"/>
      <c r="AG49" s="1181"/>
      <c r="AH49" s="4038"/>
      <c r="AI49" s="3899" t="s">
        <v>53</v>
      </c>
      <c r="AJ49" s="4040"/>
      <c r="AK49" s="3899" t="s">
        <v>53</v>
      </c>
      <c r="AL49" s="1272"/>
      <c r="AM49" s="4056" t="s">
        <v>618</v>
      </c>
      <c r="AN49" s="1560" t="e">
        <f ca="1">STRCHECKDATE(V50:AL50)</f>
        <v>#NAME?</v>
      </c>
      <c r="AO49" s="1548"/>
      <c r="AP49" s="1548" t="str">
        <f t="shared" si="1"/>
        <v/>
      </c>
      <c r="AQ49" s="1548"/>
      <c r="AR49" s="1548"/>
      <c r="AS49" s="1555">
        <v>21</v>
      </c>
    </row>
    <row r="50" spans="1:45" ht="1.1499999999999999" customHeight="1">
      <c r="A50" s="1191" t="s">
        <v>420</v>
      </c>
      <c r="B50" s="1191" t="s">
        <v>421</v>
      </c>
      <c r="C50" s="1191" t="s">
        <v>422</v>
      </c>
      <c r="D50" s="1191" t="s">
        <v>423</v>
      </c>
      <c r="E50" s="4060"/>
      <c r="F50" s="4060"/>
      <c r="G50" s="4060"/>
      <c r="H50" s="4060"/>
      <c r="I50" s="3870"/>
      <c r="J50" s="3870"/>
      <c r="K50" s="3889"/>
      <c r="L50" s="1234"/>
      <c r="P50" s="4037"/>
      <c r="Q50" s="4037"/>
      <c r="R50" s="291"/>
      <c r="S50" s="1859"/>
      <c r="T50" s="235"/>
      <c r="U50" s="235"/>
      <c r="V50" s="260"/>
      <c r="W50" s="260"/>
      <c r="X50" s="260"/>
      <c r="Y50" s="263" t="str">
        <f>Z49&amp;"-"&amp;AB49</f>
        <v>-</v>
      </c>
      <c r="Z50" s="4039"/>
      <c r="AA50" s="3899"/>
      <c r="AB50" s="4039"/>
      <c r="AC50" s="3899"/>
      <c r="AD50" s="260"/>
      <c r="AE50" s="260"/>
      <c r="AF50" s="260"/>
      <c r="AG50" s="263" t="str">
        <f>AH49&amp;"-"&amp;AJ49</f>
        <v>-</v>
      </c>
      <c r="AH50" s="4039"/>
      <c r="AI50" s="3899"/>
      <c r="AJ50" s="4041"/>
      <c r="AK50" s="3899"/>
      <c r="AL50" s="1273"/>
      <c r="AM50" s="4057"/>
      <c r="AO50" s="1548"/>
      <c r="AP50" s="1548" t="str">
        <f t="shared" si="1"/>
        <v/>
      </c>
      <c r="AQ50" s="1548"/>
      <c r="AR50" s="1548"/>
      <c r="AS50" s="1555">
        <v>1</v>
      </c>
    </row>
    <row r="51" spans="1:45" ht="11.45" customHeight="1">
      <c r="A51" s="1191" t="s">
        <v>420</v>
      </c>
      <c r="B51" s="1191" t="s">
        <v>421</v>
      </c>
      <c r="C51" s="1191" t="s">
        <v>422</v>
      </c>
      <c r="D51" s="1191" t="s">
        <v>423</v>
      </c>
      <c r="E51" s="4060"/>
      <c r="F51" s="4060"/>
      <c r="G51" s="4060"/>
      <c r="H51" s="4060"/>
      <c r="I51" s="3870"/>
      <c r="J51" s="3889"/>
      <c r="K51" s="1191"/>
      <c r="L51" s="1234"/>
      <c r="P51" s="4037"/>
      <c r="Q51" s="4037"/>
      <c r="R51" s="290"/>
      <c r="S51" s="1202"/>
      <c r="T51" s="223" t="s">
        <v>619</v>
      </c>
      <c r="U51" s="534"/>
      <c r="V51" s="534"/>
      <c r="W51" s="534"/>
      <c r="X51" s="534"/>
      <c r="Y51" s="534"/>
      <c r="Z51" s="534"/>
      <c r="AA51" s="534"/>
      <c r="AB51" s="534"/>
      <c r="AC51" s="534"/>
      <c r="AD51" s="534"/>
      <c r="AE51" s="534"/>
      <c r="AF51" s="534"/>
      <c r="AG51" s="534"/>
      <c r="AH51" s="534"/>
      <c r="AI51" s="534"/>
      <c r="AJ51" s="534"/>
      <c r="AK51" s="534"/>
      <c r="AL51" s="259"/>
      <c r="AM51" s="4058"/>
      <c r="AO51" s="1548"/>
      <c r="AP51" s="1548" t="str">
        <f t="shared" si="1"/>
        <v>Добавить вид теплоносителя (параметры теплоносителя)</v>
      </c>
      <c r="AQ51" s="1548"/>
      <c r="AR51" s="1548"/>
      <c r="AS51" s="1555">
        <v>11</v>
      </c>
    </row>
    <row r="52" spans="1:45" ht="11.45" customHeight="1">
      <c r="A52" s="1191" t="s">
        <v>420</v>
      </c>
      <c r="B52" s="1191" t="s">
        <v>421</v>
      </c>
      <c r="C52" s="1191" t="s">
        <v>422</v>
      </c>
      <c r="D52" s="1191" t="s">
        <v>423</v>
      </c>
      <c r="E52" s="4060"/>
      <c r="F52" s="4060"/>
      <c r="G52" s="4060"/>
      <c r="H52" s="4060"/>
      <c r="I52" s="3889"/>
      <c r="J52" s="1191"/>
      <c r="K52" s="1191"/>
      <c r="L52" s="1234"/>
      <c r="P52" s="4037"/>
      <c r="Q52" s="1846"/>
      <c r="R52" s="290"/>
      <c r="S52" s="1202"/>
      <c r="T52" s="222" t="s">
        <v>620</v>
      </c>
      <c r="U52" s="534"/>
      <c r="V52" s="534"/>
      <c r="W52" s="534"/>
      <c r="X52" s="534"/>
      <c r="Y52" s="534"/>
      <c r="Z52" s="534"/>
      <c r="AA52" s="534"/>
      <c r="AB52" s="534"/>
      <c r="AC52" s="300"/>
      <c r="AD52" s="534"/>
      <c r="AE52" s="534"/>
      <c r="AF52" s="534"/>
      <c r="AG52" s="534"/>
      <c r="AH52" s="534"/>
      <c r="AI52" s="534"/>
      <c r="AJ52" s="534"/>
      <c r="AK52" s="300"/>
      <c r="AL52" s="534"/>
      <c r="AM52" s="238"/>
      <c r="AO52" s="1548"/>
      <c r="AP52" s="1548" t="str">
        <f t="shared" si="1"/>
        <v>Добавить группу потребителей</v>
      </c>
      <c r="AQ52" s="1548"/>
      <c r="AR52" s="1548"/>
      <c r="AS52" s="1555">
        <v>11</v>
      </c>
    </row>
    <row r="53" spans="1:45" ht="14.65" customHeight="1">
      <c r="A53" s="1191" t="s">
        <v>420</v>
      </c>
      <c r="B53" s="1191" t="s">
        <v>421</v>
      </c>
      <c r="C53" s="1191" t="s">
        <v>422</v>
      </c>
      <c r="D53" s="1191" t="s">
        <v>423</v>
      </c>
      <c r="E53" s="4060"/>
      <c r="F53" s="4060"/>
      <c r="G53" s="4060"/>
      <c r="H53" s="4059"/>
      <c r="I53" s="1191"/>
      <c r="J53" s="1191"/>
      <c r="K53" s="1191"/>
      <c r="L53" s="1234"/>
      <c r="M53" s="1534"/>
      <c r="N53" s="1534"/>
      <c r="O53" s="1559"/>
      <c r="P53" s="294"/>
      <c r="Q53" s="309"/>
      <c r="R53" s="289"/>
      <c r="S53" s="1202"/>
      <c r="T53" s="299" t="s">
        <v>621</v>
      </c>
      <c r="U53" s="534"/>
      <c r="V53" s="534"/>
      <c r="W53" s="534"/>
      <c r="X53" s="534"/>
      <c r="Y53" s="534"/>
      <c r="Z53" s="534"/>
      <c r="AA53" s="534"/>
      <c r="AB53" s="534"/>
      <c r="AC53" s="300"/>
      <c r="AD53" s="534"/>
      <c r="AE53" s="534"/>
      <c r="AF53" s="534"/>
      <c r="AG53" s="534"/>
      <c r="AH53" s="534"/>
      <c r="AI53" s="534"/>
      <c r="AJ53" s="534"/>
      <c r="AK53" s="300"/>
      <c r="AL53" s="534"/>
      <c r="AM53" s="238"/>
      <c r="AO53" s="1548"/>
      <c r="AP53" s="1548" t="str">
        <f t="shared" si="1"/>
        <v>Добавить схему подключения</v>
      </c>
      <c r="AQ53" s="1548"/>
      <c r="AR53" s="1548"/>
      <c r="AS53" s="1555">
        <v>14</v>
      </c>
    </row>
    <row r="54" spans="1:45" s="1566" customFormat="1" ht="1.1499999999999999" customHeight="1">
      <c r="A54" s="1191" t="s">
        <v>420</v>
      </c>
      <c r="B54" s="1191" t="s">
        <v>421</v>
      </c>
      <c r="C54" s="1191" t="s">
        <v>422</v>
      </c>
      <c r="D54" s="1866"/>
      <c r="E54" s="4060"/>
      <c r="F54" s="4060"/>
      <c r="G54" s="4059"/>
      <c r="H54" s="1866"/>
      <c r="I54" s="1866"/>
      <c r="J54" s="1866"/>
      <c r="K54" s="1866"/>
      <c r="L54" s="1304"/>
      <c r="M54" s="1534"/>
      <c r="N54" s="1534"/>
      <c r="O54" s="1559"/>
      <c r="P54" s="1240"/>
      <c r="Q54" s="1241"/>
      <c r="R54" s="1240"/>
      <c r="S54" s="1246"/>
      <c r="T54" s="1249" t="s">
        <v>235</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1</v>
      </c>
    </row>
    <row r="55" spans="1:45" s="1566" customFormat="1" ht="1.1499999999999999" customHeight="1">
      <c r="A55" s="1191" t="s">
        <v>420</v>
      </c>
      <c r="B55" s="1191" t="s">
        <v>421</v>
      </c>
      <c r="C55" s="1866"/>
      <c r="D55" s="1866"/>
      <c r="E55" s="4060"/>
      <c r="F55" s="4059"/>
      <c r="G55" s="1866"/>
      <c r="H55" s="1866"/>
      <c r="I55" s="1866"/>
      <c r="J55" s="1866"/>
      <c r="K55" s="1866"/>
      <c r="L55" s="1304"/>
      <c r="M55" s="1867"/>
      <c r="N55" s="1867"/>
      <c r="O55" s="1559"/>
      <c r="P55" s="1240"/>
      <c r="Q55" s="1241"/>
      <c r="R55" s="1240"/>
      <c r="S55" s="1246"/>
      <c r="T55" s="1249" t="s">
        <v>236</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1</v>
      </c>
    </row>
    <row r="56" spans="1:45" s="1566" customFormat="1" ht="1.1499999999999999" customHeight="1">
      <c r="A56" s="1191" t="s">
        <v>420</v>
      </c>
      <c r="B56" s="1191"/>
      <c r="C56" s="1191"/>
      <c r="D56" s="1191"/>
      <c r="E56" s="4059"/>
      <c r="F56" s="1191"/>
      <c r="G56" s="1191"/>
      <c r="H56" s="1191"/>
      <c r="I56" s="1191"/>
      <c r="J56" s="1191"/>
      <c r="K56" s="1191"/>
      <c r="L56" s="1234"/>
      <c r="M56" s="1867"/>
      <c r="N56" s="1867"/>
      <c r="O56" s="1559"/>
      <c r="P56" s="314"/>
      <c r="Q56" s="1268"/>
      <c r="R56" s="314"/>
      <c r="S56" s="1246"/>
      <c r="T56" s="1249" t="s">
        <v>286</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1</v>
      </c>
    </row>
    <row r="57" spans="1:45" s="1566" customFormat="1" ht="1.1499999999999999" customHeight="1">
      <c r="A57" s="1866"/>
      <c r="B57" s="1866"/>
      <c r="C57" s="1866"/>
      <c r="D57" s="1866"/>
      <c r="E57" s="1191"/>
      <c r="F57" s="1866"/>
      <c r="G57" s="1866"/>
      <c r="H57" s="1866"/>
      <c r="I57" s="1866"/>
      <c r="J57" s="1866"/>
      <c r="K57" s="1866"/>
      <c r="L57" s="1304"/>
      <c r="M57" s="1867"/>
      <c r="N57" s="1867"/>
      <c r="O57" s="1559"/>
      <c r="P57" s="1240"/>
      <c r="Q57" s="1241"/>
      <c r="R57" s="1240"/>
      <c r="S57" s="1246"/>
      <c r="T57" s="1249" t="s">
        <v>287</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1</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4032"/>
      <c r="U59" s="4032"/>
      <c r="V59" s="4032"/>
      <c r="W59" s="4032"/>
      <c r="X59" s="4032"/>
      <c r="Y59" s="4032"/>
      <c r="Z59" s="4032"/>
      <c r="AA59" s="4032"/>
      <c r="AB59" s="4032"/>
      <c r="AC59" s="4032"/>
      <c r="AD59" s="4032"/>
      <c r="AE59" s="4032"/>
      <c r="AF59" s="4032"/>
      <c r="AG59" s="4032"/>
      <c r="AH59" s="4032"/>
      <c r="AI59" s="4032"/>
      <c r="AJ59" s="4032"/>
      <c r="AK59" s="4032"/>
      <c r="AL59" s="4032"/>
      <c r="AM59" s="4032"/>
      <c r="AS59" s="1555">
        <v>27</v>
      </c>
    </row>
    <row r="60" spans="1:45" ht="65.25" customHeight="1">
      <c r="O60" s="1559"/>
      <c r="T60" s="4032"/>
      <c r="U60" s="4032"/>
      <c r="V60" s="4032"/>
      <c r="W60" s="4032"/>
      <c r="X60" s="4032"/>
      <c r="Y60" s="4032"/>
      <c r="Z60" s="4032"/>
      <c r="AA60" s="4032"/>
      <c r="AB60" s="4032"/>
      <c r="AC60" s="4032"/>
      <c r="AD60" s="4032"/>
      <c r="AE60" s="4032"/>
      <c r="AF60" s="4032"/>
      <c r="AG60" s="4032"/>
      <c r="AH60" s="4032"/>
      <c r="AI60" s="4032"/>
      <c r="AJ60" s="4032"/>
      <c r="AK60" s="4032"/>
      <c r="AL60" s="4032"/>
      <c r="AM60" s="4032"/>
      <c r="AS60" s="1555">
        <v>62</v>
      </c>
    </row>
    <row r="61" spans="1:45" ht="14.65" customHeight="1">
      <c r="O61" s="1559"/>
      <c r="AS61" s="1555">
        <v>14</v>
      </c>
    </row>
    <row r="62" spans="1:45" ht="18.75" customHeight="1">
      <c r="O62" s="1559"/>
      <c r="S62" s="1177"/>
      <c r="T62" s="4032"/>
      <c r="U62" s="4032"/>
      <c r="V62" s="4032"/>
      <c r="W62" s="4032"/>
      <c r="X62" s="4032"/>
      <c r="Y62" s="4032"/>
      <c r="Z62" s="4032"/>
      <c r="AA62" s="4032"/>
      <c r="AB62" s="4032"/>
      <c r="AC62" s="4032"/>
      <c r="AD62" s="4032"/>
      <c r="AE62" s="4032"/>
      <c r="AF62" s="4032"/>
      <c r="AG62" s="4032"/>
      <c r="AH62" s="4032"/>
      <c r="AI62" s="4032"/>
      <c r="AJ62" s="4032"/>
      <c r="AK62" s="4032"/>
      <c r="AL62" s="4032"/>
      <c r="AM62" s="4032"/>
      <c r="AS62" s="1555">
        <v>18</v>
      </c>
    </row>
    <row r="63" spans="1:45" ht="18.75" customHeight="1">
      <c r="O63" s="1559"/>
      <c r="T63" s="4032"/>
      <c r="U63" s="4032"/>
      <c r="V63" s="4032"/>
      <c r="W63" s="4032"/>
      <c r="X63" s="4032"/>
      <c r="Y63" s="4032"/>
      <c r="Z63" s="4032"/>
      <c r="AA63" s="4032"/>
      <c r="AB63" s="4032"/>
      <c r="AC63" s="4032"/>
      <c r="AD63" s="4032"/>
      <c r="AE63" s="4032"/>
      <c r="AF63" s="4032"/>
      <c r="AG63" s="4032"/>
      <c r="AH63" s="4032"/>
      <c r="AI63" s="4032"/>
      <c r="AJ63" s="4032"/>
      <c r="AK63" s="4032"/>
      <c r="AL63" s="4032"/>
      <c r="AM63" s="4032"/>
      <c r="AS63" s="1555">
        <v>18</v>
      </c>
    </row>
    <row r="64" spans="1:45" ht="29.25" customHeight="1">
      <c r="O64" s="1559"/>
      <c r="S64" s="1177"/>
      <c r="T64" s="4032"/>
      <c r="U64" s="4032"/>
      <c r="V64" s="4032"/>
      <c r="W64" s="4032"/>
      <c r="X64" s="4032"/>
      <c r="Y64" s="4032"/>
      <c r="Z64" s="4032"/>
      <c r="AA64" s="4032"/>
      <c r="AB64" s="4032"/>
      <c r="AC64" s="4032"/>
      <c r="AD64" s="4032"/>
      <c r="AE64" s="4032"/>
      <c r="AF64" s="4032"/>
      <c r="AG64" s="4032"/>
      <c r="AH64" s="4032"/>
      <c r="AI64" s="4032"/>
      <c r="AJ64" s="4032"/>
      <c r="AK64" s="4032"/>
      <c r="AL64" s="4032"/>
      <c r="AM64" s="4032"/>
      <c r="AS64" s="1555">
        <v>28</v>
      </c>
    </row>
    <row r="65" spans="1:45" ht="22.5" hidden="1" customHeight="1">
      <c r="A65" s="1555" t="s">
        <v>69</v>
      </c>
      <c r="B65" s="1555">
        <v>0</v>
      </c>
      <c r="C65" s="1555">
        <v>0</v>
      </c>
      <c r="D65" s="1555">
        <v>0</v>
      </c>
      <c r="E65" s="1555">
        <v>0</v>
      </c>
      <c r="F65" s="1555">
        <v>0</v>
      </c>
      <c r="G65" s="1555">
        <v>0</v>
      </c>
      <c r="H65" s="1555">
        <v>0</v>
      </c>
      <c r="I65" s="1555">
        <v>0</v>
      </c>
      <c r="J65" s="1555">
        <v>0</v>
      </c>
      <c r="K65" s="1555">
        <v>0</v>
      </c>
      <c r="L65" s="1831">
        <v>0</v>
      </c>
      <c r="M65" s="1857">
        <v>0</v>
      </c>
      <c r="N65" s="1857">
        <v>0</v>
      </c>
      <c r="O65" s="1857">
        <v>0</v>
      </c>
      <c r="P65" s="1857">
        <v>3</v>
      </c>
      <c r="Q65" s="279">
        <v>3</v>
      </c>
      <c r="R65" s="279">
        <v>3</v>
      </c>
      <c r="S65" s="515">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1" style="1559" customWidth="1"/>
    <col min="21" max="21" width="0.7109375" style="1559" hidden="1" customWidth="1"/>
    <col min="22" max="22" width="1.7109375" style="1559" hidden="1" customWidth="1"/>
    <col min="23" max="23" width="24.7109375" style="1559" hidden="1" customWidth="1"/>
    <col min="24" max="25" width="0.14062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0.140625" style="1559" customWidth="1"/>
    <col min="31" max="31" width="24" style="1559" customWidth="1"/>
    <col min="32" max="33" width="0.140625"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2"/>
      <c r="Z1" s="262"/>
      <c r="AG1" s="262"/>
      <c r="AH1" s="262"/>
      <c r="AS1" s="1079" t="s">
        <v>1</v>
      </c>
    </row>
    <row r="2" spans="1:45" ht="21" hidden="1" customHeight="1">
      <c r="A2" s="1287"/>
      <c r="B2" s="1287"/>
      <c r="C2" s="1287"/>
      <c r="D2" s="1287"/>
      <c r="E2" s="4033">
        <v>1</v>
      </c>
      <c r="F2" s="1287"/>
      <c r="G2" s="1287"/>
      <c r="H2" s="1287"/>
      <c r="I2" s="1287"/>
      <c r="J2" s="1287"/>
      <c r="K2" s="1287"/>
      <c r="L2" s="1288"/>
      <c r="M2" s="1289"/>
      <c r="N2" s="1289"/>
      <c r="O2" s="1289"/>
      <c r="P2" s="295"/>
      <c r="Q2" s="294"/>
      <c r="R2" s="289"/>
      <c r="S2" s="1260" t="e">
        <f>INDEX(PT_DIFFERENTIATION_NUM_NTAR,MATCH(A2,PT_DIFFERENTIATION_NTAR_ID,0))</f>
        <v>#N/A</v>
      </c>
      <c r="T2" s="233" t="s">
        <v>195</v>
      </c>
      <c r="U2" s="235"/>
      <c r="V2" s="4027"/>
      <c r="W2" s="4028"/>
      <c r="X2" s="4028"/>
      <c r="Y2" s="4028"/>
      <c r="Z2" s="4028"/>
      <c r="AA2" s="4028"/>
      <c r="AB2" s="4028"/>
      <c r="AC2" s="4029"/>
      <c r="AD2" s="4027" t="e">
        <f>INDEX(PT_DIFFERENTIATION_NTAR,MATCH(A2,PT_DIFFERENTIATION_NTAR_ID,0))</f>
        <v>#N/A</v>
      </c>
      <c r="AE2" s="4028"/>
      <c r="AF2" s="4028"/>
      <c r="AG2" s="4028"/>
      <c r="AH2" s="4028"/>
      <c r="AI2" s="4028"/>
      <c r="AJ2" s="4028"/>
      <c r="AK2" s="4028"/>
      <c r="AL2" s="4029"/>
      <c r="AM2" s="1182" t="s">
        <v>604</v>
      </c>
      <c r="AO2" s="434"/>
      <c r="AP2" s="434" t="str">
        <f t="shared" ref="AP2:AP15" si="0">IF(T2="","",T2)</f>
        <v>Наименование тарифа</v>
      </c>
      <c r="AQ2" s="434"/>
      <c r="AR2" s="434"/>
      <c r="AS2" s="1079">
        <v>0</v>
      </c>
    </row>
    <row r="3" spans="1:45" ht="21" hidden="1" customHeight="1">
      <c r="A3" s="1287"/>
      <c r="B3" s="1287"/>
      <c r="C3" s="1287"/>
      <c r="D3" s="1287"/>
      <c r="E3" s="4034"/>
      <c r="F3" s="4033">
        <v>1</v>
      </c>
      <c r="G3" s="1287"/>
      <c r="H3" s="1287"/>
      <c r="I3" s="1287"/>
      <c r="J3" s="1287"/>
      <c r="K3" s="1287"/>
      <c r="L3" s="1288"/>
      <c r="M3" s="1289"/>
      <c r="N3" s="1289"/>
      <c r="O3" s="1289"/>
      <c r="P3" s="1256"/>
      <c r="Q3" s="286"/>
      <c r="R3" s="287"/>
      <c r="S3" s="1260" t="e">
        <f>INDEX(PT_DIFFERENTIATION_NUM_TER,MATCH(B3,PT_DIFFERENTIATION_TER_ID,0))</f>
        <v>#N/A</v>
      </c>
      <c r="T3" s="243" t="s">
        <v>605</v>
      </c>
      <c r="U3" s="235"/>
      <c r="V3" s="4027"/>
      <c r="W3" s="4028"/>
      <c r="X3" s="4028"/>
      <c r="Y3" s="4028"/>
      <c r="Z3" s="4028"/>
      <c r="AA3" s="4028"/>
      <c r="AB3" s="4028"/>
      <c r="AC3" s="4029"/>
      <c r="AD3" s="4027" t="e">
        <f>INDEX(PT_DIFFERENTIATION_TER,MATCH(B3,PT_DIFFERENTIATION_TER_ID,0))</f>
        <v>#N/A</v>
      </c>
      <c r="AE3" s="4028"/>
      <c r="AF3" s="4028"/>
      <c r="AG3" s="4028"/>
      <c r="AH3" s="4028"/>
      <c r="AI3" s="4028"/>
      <c r="AJ3" s="4028"/>
      <c r="AK3" s="4028"/>
      <c r="AL3" s="4029"/>
      <c r="AM3" s="1182" t="s">
        <v>606</v>
      </c>
      <c r="AO3" s="434"/>
      <c r="AP3" s="434" t="str">
        <f t="shared" si="0"/>
        <v>Территория действия тарифа</v>
      </c>
      <c r="AQ3" s="434"/>
      <c r="AR3" s="434"/>
      <c r="AS3" s="1079">
        <v>0</v>
      </c>
    </row>
    <row r="4" spans="1:45" ht="23.25" hidden="1" customHeight="1">
      <c r="A4" s="1287"/>
      <c r="B4" s="1287"/>
      <c r="C4" s="1287"/>
      <c r="D4" s="1287"/>
      <c r="E4" s="4034"/>
      <c r="F4" s="4034"/>
      <c r="G4" s="4033">
        <v>1</v>
      </c>
      <c r="H4" s="1287"/>
      <c r="I4" s="1287"/>
      <c r="J4" s="1287"/>
      <c r="K4" s="1287"/>
      <c r="L4" s="1288"/>
      <c r="M4" s="1289"/>
      <c r="N4" s="1289"/>
      <c r="O4" s="1289"/>
      <c r="P4" s="288"/>
      <c r="Q4" s="286"/>
      <c r="R4" s="287"/>
      <c r="S4" s="1260" t="e">
        <f>INDEX(PT_DIFFERENTIATION_NUM_CS,MATCH(C4,PT_DIFFERENTIATION_CS_ID,0))</f>
        <v>#N/A</v>
      </c>
      <c r="T4" s="244" t="s">
        <v>607</v>
      </c>
      <c r="U4" s="235"/>
      <c r="V4" s="4027"/>
      <c r="W4" s="4028"/>
      <c r="X4" s="4028"/>
      <c r="Y4" s="4028"/>
      <c r="Z4" s="4028"/>
      <c r="AA4" s="4028"/>
      <c r="AB4" s="4028"/>
      <c r="AC4" s="4029"/>
      <c r="AD4" s="4027" t="e">
        <f>INDEX(PT_DIFFERENTIATION_CS,MATCH(C4,PT_DIFFERENTIATION_CS_ID,0))</f>
        <v>#N/A</v>
      </c>
      <c r="AE4" s="4028"/>
      <c r="AF4" s="4028"/>
      <c r="AG4" s="4028"/>
      <c r="AH4" s="4028"/>
      <c r="AI4" s="4028"/>
      <c r="AJ4" s="4028"/>
      <c r="AK4" s="4028"/>
      <c r="AL4" s="4029"/>
      <c r="AM4" s="1182" t="s">
        <v>608</v>
      </c>
      <c r="AO4" s="434"/>
      <c r="AP4" s="434" t="str">
        <f t="shared" si="0"/>
        <v xml:space="preserve">Наименование системы теплоснабжения </v>
      </c>
      <c r="AQ4" s="434"/>
      <c r="AR4" s="434"/>
      <c r="AS4" s="1079">
        <v>0</v>
      </c>
    </row>
    <row r="5" spans="1:45" ht="21" hidden="1" customHeight="1">
      <c r="A5" s="1287"/>
      <c r="B5" s="1287"/>
      <c r="C5" s="1287"/>
      <c r="D5" s="1287"/>
      <c r="E5" s="4034"/>
      <c r="F5" s="4034"/>
      <c r="G5" s="4034"/>
      <c r="H5" s="4033">
        <v>1</v>
      </c>
      <c r="I5" s="1287"/>
      <c r="J5" s="1287"/>
      <c r="K5" s="1287"/>
      <c r="L5" s="1288"/>
      <c r="M5" s="1289"/>
      <c r="N5" s="1289"/>
      <c r="O5" s="1289"/>
      <c r="P5" s="288"/>
      <c r="Q5" s="286"/>
      <c r="R5" s="287"/>
      <c r="S5" s="1260" t="e">
        <f>INDEX(PT_DIFFERENTIATION_NUM_IST_TE,MATCH(D5,PT_DIFFERENTIATION_IST_TE_ID,0))</f>
        <v>#N/A</v>
      </c>
      <c r="T5" s="245" t="s">
        <v>609</v>
      </c>
      <c r="U5" s="235"/>
      <c r="V5" s="4027"/>
      <c r="W5" s="4028"/>
      <c r="X5" s="4028"/>
      <c r="Y5" s="4028"/>
      <c r="Z5" s="4028"/>
      <c r="AA5" s="4028"/>
      <c r="AB5" s="4028"/>
      <c r="AC5" s="4029"/>
      <c r="AD5" s="4027" t="e">
        <f>INDEX(PT_DIFFERENTIATION_IST_TE,MATCH(D5,PT_DIFFERENTIATION_IST_TE_ID,0))</f>
        <v>#N/A</v>
      </c>
      <c r="AE5" s="4028"/>
      <c r="AF5" s="4028"/>
      <c r="AG5" s="4028"/>
      <c r="AH5" s="4028"/>
      <c r="AI5" s="4028"/>
      <c r="AJ5" s="4028"/>
      <c r="AK5" s="4028"/>
      <c r="AL5" s="4029"/>
      <c r="AM5" s="1182" t="s">
        <v>610</v>
      </c>
      <c r="AO5" s="434"/>
      <c r="AP5" s="434" t="str">
        <f t="shared" si="0"/>
        <v xml:space="preserve">Источник тепловой энергии  </v>
      </c>
      <c r="AQ5" s="434"/>
      <c r="AR5" s="434"/>
      <c r="AS5" s="1079">
        <v>0</v>
      </c>
    </row>
    <row r="6" spans="1:45" ht="47.25" hidden="1" customHeight="1">
      <c r="A6" s="1287"/>
      <c r="B6" s="1287"/>
      <c r="C6" s="1287"/>
      <c r="D6" s="1287"/>
      <c r="E6" s="4034"/>
      <c r="F6" s="4034"/>
      <c r="G6" s="4034"/>
      <c r="H6" s="4034"/>
      <c r="I6" s="4035" t="e">
        <f>S5&amp;".1"</f>
        <v>#N/A</v>
      </c>
      <c r="J6" s="1287"/>
      <c r="K6" s="1287"/>
      <c r="L6" s="1288" t="s">
        <v>611</v>
      </c>
      <c r="M6" s="471"/>
      <c r="P6" s="4037">
        <v>1</v>
      </c>
      <c r="Q6" s="1255"/>
      <c r="R6" s="290"/>
      <c r="S6" s="1260" t="e">
        <f>$I6</f>
        <v>#N/A</v>
      </c>
      <c r="T6" s="220" t="s">
        <v>612</v>
      </c>
      <c r="U6" s="235"/>
      <c r="V6" s="4021"/>
      <c r="W6" s="4022"/>
      <c r="X6" s="4022"/>
      <c r="Y6" s="4022"/>
      <c r="Z6" s="4022"/>
      <c r="AA6" s="4022"/>
      <c r="AB6" s="4022"/>
      <c r="AC6" s="4023"/>
      <c r="AD6" s="4021"/>
      <c r="AE6" s="4022"/>
      <c r="AF6" s="4022"/>
      <c r="AG6" s="4022"/>
      <c r="AH6" s="4022"/>
      <c r="AI6" s="4022"/>
      <c r="AJ6" s="4022"/>
      <c r="AK6" s="4022"/>
      <c r="AL6" s="4023"/>
      <c r="AM6" s="1182" t="s">
        <v>613</v>
      </c>
      <c r="AO6" s="434"/>
      <c r="AP6" s="434" t="str">
        <f t="shared" si="0"/>
        <v>Схема подключения теплопотребляющей установки к коллектору источника тепловой энергии</v>
      </c>
      <c r="AQ6" s="434"/>
      <c r="AR6" s="434"/>
      <c r="AS6" s="1079">
        <v>0</v>
      </c>
    </row>
    <row r="7" spans="1:45" ht="21" hidden="1" customHeight="1">
      <c r="A7" s="1287"/>
      <c r="B7" s="1287"/>
      <c r="C7" s="1287"/>
      <c r="D7" s="1287"/>
      <c r="E7" s="4034"/>
      <c r="F7" s="4034"/>
      <c r="G7" s="4034"/>
      <c r="H7" s="4034"/>
      <c r="I7" s="4036"/>
      <c r="J7" s="4035" t="e">
        <f>I6&amp;".1"</f>
        <v>#N/A</v>
      </c>
      <c r="K7" s="1287"/>
      <c r="L7" s="1288" t="s">
        <v>614</v>
      </c>
      <c r="M7" s="471"/>
      <c r="N7" s="1290"/>
      <c r="P7" s="4037"/>
      <c r="Q7" s="4037">
        <v>1</v>
      </c>
      <c r="R7" s="291"/>
      <c r="S7" s="1260" t="e">
        <f>$J7</f>
        <v>#N/A</v>
      </c>
      <c r="T7" s="221" t="s">
        <v>615</v>
      </c>
      <c r="U7" s="235"/>
      <c r="V7" s="4021"/>
      <c r="W7" s="4022"/>
      <c r="X7" s="4022"/>
      <c r="Y7" s="4022"/>
      <c r="Z7" s="4022"/>
      <c r="AA7" s="4022"/>
      <c r="AB7" s="4022"/>
      <c r="AC7" s="4023"/>
      <c r="AD7" s="4021"/>
      <c r="AE7" s="4022"/>
      <c r="AF7" s="4022"/>
      <c r="AG7" s="4022"/>
      <c r="AH7" s="4022"/>
      <c r="AI7" s="4022"/>
      <c r="AJ7" s="4022"/>
      <c r="AK7" s="4022"/>
      <c r="AL7" s="4023"/>
      <c r="AM7" s="1182" t="s">
        <v>616</v>
      </c>
      <c r="AO7" s="434"/>
      <c r="AP7" s="434" t="str">
        <f t="shared" si="0"/>
        <v>Группа потребителей</v>
      </c>
      <c r="AQ7" s="434"/>
      <c r="AR7" s="434"/>
      <c r="AS7" s="1079">
        <v>0</v>
      </c>
    </row>
    <row r="8" spans="1:45" ht="21" hidden="1" customHeight="1">
      <c r="A8" s="1287"/>
      <c r="B8" s="1287"/>
      <c r="C8" s="1287"/>
      <c r="D8" s="1287"/>
      <c r="E8" s="4034"/>
      <c r="F8" s="4034"/>
      <c r="G8" s="4034"/>
      <c r="H8" s="4034"/>
      <c r="I8" s="4036"/>
      <c r="J8" s="4036"/>
      <c r="K8" s="4035" t="e">
        <f>J7&amp;".1"</f>
        <v>#N/A</v>
      </c>
      <c r="L8" s="1288" t="s">
        <v>617</v>
      </c>
      <c r="M8" s="471"/>
      <c r="N8" s="1290"/>
      <c r="O8" s="1290"/>
      <c r="P8" s="4037"/>
      <c r="Q8" s="4037"/>
      <c r="R8" s="291">
        <v>1</v>
      </c>
      <c r="S8" s="1260" t="e">
        <f>$K8</f>
        <v>#N/A</v>
      </c>
      <c r="T8" s="1271"/>
      <c r="U8" s="235"/>
      <c r="V8" s="260"/>
      <c r="W8" s="685"/>
      <c r="X8" s="260"/>
      <c r="Y8" s="318"/>
      <c r="Z8" s="4038"/>
      <c r="AA8" s="3899" t="s">
        <v>53</v>
      </c>
      <c r="AB8" s="4038"/>
      <c r="AC8" s="3899" t="s">
        <v>53</v>
      </c>
      <c r="AD8" s="260"/>
      <c r="AE8" s="685"/>
      <c r="AF8" s="260"/>
      <c r="AG8" s="318"/>
      <c r="AH8" s="4038"/>
      <c r="AI8" s="3899" t="s">
        <v>53</v>
      </c>
      <c r="AJ8" s="4038"/>
      <c r="AK8" s="3899" t="s">
        <v>53</v>
      </c>
      <c r="AL8" s="260"/>
      <c r="AM8" s="4056" t="s">
        <v>618</v>
      </c>
      <c r="AN8" s="445" t="e">
        <f ca="1">STRCHECKDATE(V9:AL9)</f>
        <v>#NAME?</v>
      </c>
      <c r="AO8" s="434"/>
      <c r="AP8" s="434" t="str">
        <f t="shared" si="0"/>
        <v/>
      </c>
      <c r="AQ8" s="434"/>
      <c r="AR8" s="434"/>
      <c r="AS8" s="1079">
        <v>0</v>
      </c>
    </row>
    <row r="9" spans="1:45" ht="0.75" hidden="1" customHeight="1">
      <c r="A9" s="1287"/>
      <c r="B9" s="1287"/>
      <c r="C9" s="1287"/>
      <c r="D9" s="1287"/>
      <c r="E9" s="4034"/>
      <c r="F9" s="4034"/>
      <c r="G9" s="4034"/>
      <c r="H9" s="4034"/>
      <c r="I9" s="4036"/>
      <c r="J9" s="4036"/>
      <c r="K9" s="4035"/>
      <c r="L9" s="1288"/>
      <c r="M9" s="471"/>
      <c r="N9" s="1290"/>
      <c r="O9" s="1290"/>
      <c r="P9" s="4037"/>
      <c r="Q9" s="4037"/>
      <c r="R9" s="291"/>
      <c r="S9" s="1266"/>
      <c r="T9" s="235"/>
      <c r="U9" s="235"/>
      <c r="V9" s="260"/>
      <c r="W9" s="260"/>
      <c r="X9" s="260"/>
      <c r="Y9" s="263" t="str">
        <f>Z8&amp;"-"&amp;AB8</f>
        <v>-</v>
      </c>
      <c r="Z9" s="4039"/>
      <c r="AA9" s="3899"/>
      <c r="AB9" s="4039"/>
      <c r="AC9" s="3899"/>
      <c r="AD9" s="260"/>
      <c r="AE9" s="260"/>
      <c r="AF9" s="260"/>
      <c r="AG9" s="263" t="str">
        <f>AH8&amp;"-"&amp;AJ8</f>
        <v>-</v>
      </c>
      <c r="AH9" s="4039"/>
      <c r="AI9" s="3899"/>
      <c r="AJ9" s="4039"/>
      <c r="AK9" s="3899"/>
      <c r="AL9" s="260"/>
      <c r="AM9" s="4057"/>
      <c r="AO9" s="434"/>
      <c r="AP9" s="434" t="str">
        <f t="shared" si="0"/>
        <v/>
      </c>
      <c r="AQ9" s="434"/>
      <c r="AR9" s="434"/>
      <c r="AS9" s="1079">
        <v>0</v>
      </c>
    </row>
    <row r="10" spans="1:45" ht="15" hidden="1" customHeight="1">
      <c r="A10" s="1287"/>
      <c r="B10" s="1287"/>
      <c r="C10" s="1287"/>
      <c r="D10" s="1287"/>
      <c r="E10" s="4034"/>
      <c r="F10" s="4034"/>
      <c r="G10" s="4034"/>
      <c r="H10" s="4034"/>
      <c r="I10" s="4036"/>
      <c r="J10" s="4035"/>
      <c r="K10" s="1287"/>
      <c r="L10" s="1288"/>
      <c r="M10" s="471"/>
      <c r="N10" s="1290"/>
      <c r="P10" s="4037"/>
      <c r="Q10" s="4037"/>
      <c r="R10" s="290"/>
      <c r="S10" s="1202"/>
      <c r="T10" s="223" t="s">
        <v>619</v>
      </c>
      <c r="U10" s="301"/>
      <c r="V10" s="301"/>
      <c r="W10" s="301"/>
      <c r="X10" s="301"/>
      <c r="Y10" s="301"/>
      <c r="Z10" s="301"/>
      <c r="AA10" s="301"/>
      <c r="AB10" s="301"/>
      <c r="AC10" s="301"/>
      <c r="AD10" s="301"/>
      <c r="AE10" s="301"/>
      <c r="AF10" s="301"/>
      <c r="AG10" s="301"/>
      <c r="AH10" s="301"/>
      <c r="AI10" s="301"/>
      <c r="AJ10" s="301"/>
      <c r="AK10" s="301"/>
      <c r="AL10" s="259"/>
      <c r="AM10" s="4058"/>
      <c r="AO10" s="434"/>
      <c r="AP10" s="434" t="str">
        <f t="shared" si="0"/>
        <v>Добавить вид теплоносителя (параметры теплоносителя)</v>
      </c>
      <c r="AQ10" s="434"/>
      <c r="AR10" s="434"/>
      <c r="AS10" s="1079">
        <v>0</v>
      </c>
    </row>
    <row r="11" spans="1:45" ht="15" hidden="1" customHeight="1">
      <c r="A11" s="1287"/>
      <c r="B11" s="1287"/>
      <c r="C11" s="1287"/>
      <c r="D11" s="1287"/>
      <c r="E11" s="4034"/>
      <c r="F11" s="4034"/>
      <c r="G11" s="4034"/>
      <c r="H11" s="4034"/>
      <c r="I11" s="4035"/>
      <c r="J11" s="1287"/>
      <c r="K11" s="1287"/>
      <c r="L11" s="1288"/>
      <c r="M11" s="471"/>
      <c r="P11" s="4037"/>
      <c r="Q11" s="1255"/>
      <c r="R11" s="290"/>
      <c r="S11" s="1202"/>
      <c r="T11" s="222" t="s">
        <v>620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9">
        <v>0</v>
      </c>
    </row>
    <row r="12" spans="1:45" ht="14.25" hidden="1" customHeight="1">
      <c r="A12" s="1287"/>
      <c r="B12" s="1287"/>
      <c r="C12" s="1287"/>
      <c r="D12" s="1287"/>
      <c r="E12" s="4034"/>
      <c r="F12" s="4034"/>
      <c r="G12" s="4034"/>
      <c r="H12" s="4033"/>
      <c r="I12" s="1287"/>
      <c r="J12" s="1287"/>
      <c r="K12" s="1287"/>
      <c r="L12" s="1288"/>
      <c r="M12" s="1289"/>
      <c r="N12" s="1289"/>
      <c r="O12" s="471"/>
      <c r="P12" s="294"/>
      <c r="Q12" s="309"/>
      <c r="R12" s="289"/>
      <c r="S12" s="1202"/>
      <c r="T12" s="299" t="s">
        <v>621</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9">
        <v>0</v>
      </c>
    </row>
    <row r="13" spans="1:45" s="1566" customFormat="1" ht="0.75" hidden="1" customHeight="1">
      <c r="A13" s="1238"/>
      <c r="B13" s="1238"/>
      <c r="C13" s="1238"/>
      <c r="D13" s="1238"/>
      <c r="E13" s="4034"/>
      <c r="F13" s="4034"/>
      <c r="G13" s="4033"/>
      <c r="H13" s="1238"/>
      <c r="I13" s="1238"/>
      <c r="J13" s="1238"/>
      <c r="K13" s="1238"/>
      <c r="L13" s="1263"/>
      <c r="M13" s="1239"/>
      <c r="N13" s="1239"/>
      <c r="P13" s="1240"/>
      <c r="Q13" s="1241"/>
      <c r="R13" s="1240"/>
      <c r="S13" s="1242"/>
      <c r="T13" s="1243" t="s">
        <v>235</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2">
        <v>0</v>
      </c>
    </row>
    <row r="14" spans="1:45" s="1566" customFormat="1" ht="0.75" hidden="1" customHeight="1">
      <c r="A14" s="1238"/>
      <c r="B14" s="1238"/>
      <c r="C14" s="1238"/>
      <c r="D14" s="1238"/>
      <c r="E14" s="4034"/>
      <c r="F14" s="4033"/>
      <c r="G14" s="1238"/>
      <c r="H14" s="1238"/>
      <c r="I14" s="1238"/>
      <c r="J14" s="1238"/>
      <c r="K14" s="1238"/>
      <c r="L14" s="1263"/>
      <c r="M14" s="1245"/>
      <c r="N14" s="1245"/>
      <c r="P14" s="1240"/>
      <c r="Q14" s="1241"/>
      <c r="R14" s="1240"/>
      <c r="S14" s="1246"/>
      <c r="T14" s="1247" t="s">
        <v>236</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2">
        <v>0</v>
      </c>
    </row>
    <row r="15" spans="1:45" s="1566" customFormat="1" ht="0.75" hidden="1" customHeight="1">
      <c r="A15" s="1238"/>
      <c r="B15" s="1238"/>
      <c r="C15" s="1238"/>
      <c r="D15" s="1238"/>
      <c r="E15" s="4033"/>
      <c r="F15" s="1238"/>
      <c r="G15" s="1238"/>
      <c r="H15" s="1238"/>
      <c r="I15" s="1238"/>
      <c r="J15" s="1238"/>
      <c r="K15" s="1238"/>
      <c r="L15" s="1263"/>
      <c r="M15" s="1245"/>
      <c r="N15" s="1245"/>
      <c r="P15" s="1240"/>
      <c r="Q15" s="1241"/>
      <c r="R15" s="1240"/>
      <c r="S15" s="1246"/>
      <c r="T15" s="1249" t="s">
        <v>286</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2">
        <v>0</v>
      </c>
    </row>
    <row r="16" spans="1:45" ht="14.25" hidden="1" customHeight="1">
      <c r="AC16" s="262"/>
      <c r="AK16" s="262"/>
      <c r="AS16" s="1079">
        <v>0</v>
      </c>
    </row>
    <row r="17" spans="1:45" ht="14.25" hidden="1" customHeight="1">
      <c r="AD17" s="1284"/>
      <c r="AE17" s="1284"/>
      <c r="AF17" s="1284"/>
      <c r="AG17" s="1285"/>
      <c r="AH17" s="4031"/>
      <c r="AI17" s="4030" t="s">
        <v>53</v>
      </c>
      <c r="AJ17" s="4031"/>
      <c r="AK17" s="4030" t="s">
        <v>53</v>
      </c>
      <c r="AS17" s="1079">
        <v>0</v>
      </c>
    </row>
    <row r="18" spans="1:45" ht="14.25" hidden="1" customHeight="1">
      <c r="AD18" s="1284"/>
      <c r="AE18" s="1284"/>
      <c r="AF18" s="1284"/>
      <c r="AG18" s="263" t="str">
        <f>AH17&amp;"-"&amp;AJ17</f>
        <v>-</v>
      </c>
      <c r="AH18" s="4030"/>
      <c r="AI18" s="4030"/>
      <c r="AJ18" s="4030"/>
      <c r="AK18" s="4030"/>
      <c r="AS18" s="1079">
        <v>0</v>
      </c>
    </row>
    <row r="19" spans="1:45" ht="14.25" hidden="1" customHeight="1">
      <c r="AK19" s="262"/>
      <c r="AS19" s="1079">
        <v>0</v>
      </c>
    </row>
    <row r="20" spans="1:45" s="1290" customFormat="1" ht="22.5" hidden="1" customHeight="1">
      <c r="L20" s="1253"/>
      <c r="M20" s="1286"/>
      <c r="N20" s="1286"/>
      <c r="O20" s="1291" t="s">
        <v>622</v>
      </c>
      <c r="P20" s="1286"/>
      <c r="Q20" s="1295"/>
      <c r="R20" s="1295"/>
      <c r="S20" s="663"/>
      <c r="Z20" s="1291"/>
      <c r="AB20" s="1291"/>
      <c r="AH20" s="1291"/>
      <c r="AJ20" s="1291"/>
      <c r="AN20" s="445"/>
      <c r="AO20" s="445"/>
      <c r="AP20" s="445"/>
      <c r="AQ20" s="445"/>
      <c r="AR20" s="445"/>
      <c r="AS20" s="1084">
        <v>0</v>
      </c>
    </row>
    <row r="21" spans="1:45" s="1290" customFormat="1" ht="14.25" hidden="1" customHeight="1">
      <c r="L21" s="1253"/>
      <c r="M21" s="1286"/>
      <c r="N21" s="1286"/>
      <c r="O21" s="1286"/>
      <c r="P21" s="1286"/>
      <c r="Q21" s="1295"/>
      <c r="R21" s="1295"/>
      <c r="S21" s="663"/>
      <c r="AN21" s="445"/>
      <c r="AO21" s="445"/>
      <c r="AP21" s="445"/>
      <c r="AQ21" s="445"/>
      <c r="AR21" s="445"/>
      <c r="AS21" s="1084">
        <v>0</v>
      </c>
    </row>
    <row r="22" spans="1:45" s="1290" customFormat="1" ht="33.75" hidden="1" customHeight="1">
      <c r="L22" s="1253"/>
      <c r="M22" s="1286"/>
      <c r="N22" s="1286"/>
      <c r="O22" s="1288" t="s">
        <v>623</v>
      </c>
      <c r="P22" s="1286"/>
      <c r="Q22" s="1295"/>
      <c r="R22" s="1295"/>
      <c r="S22" s="663"/>
      <c r="T22" s="1084" t="s">
        <v>624</v>
      </c>
      <c r="AA22" s="121" t="s">
        <v>625</v>
      </c>
      <c r="AC22" s="121" t="s">
        <v>626</v>
      </c>
      <c r="AD22" s="1084" t="s">
        <v>624</v>
      </c>
      <c r="AI22" s="121" t="s">
        <v>627</v>
      </c>
      <c r="AK22" s="121" t="s">
        <v>626</v>
      </c>
      <c r="AN22" s="445"/>
      <c r="AO22" s="445"/>
      <c r="AP22" s="445"/>
      <c r="AQ22" s="445"/>
      <c r="AR22" s="445"/>
      <c r="AS22" s="1084">
        <v>0</v>
      </c>
    </row>
    <row r="23" spans="1:45" ht="14.25" hidden="1" customHeight="1">
      <c r="O23" s="1288"/>
      <c r="AS23" s="1079">
        <v>0</v>
      </c>
    </row>
    <row r="24" spans="1:45" ht="14.25" hidden="1" customHeight="1">
      <c r="O24" s="1288"/>
      <c r="AS24" s="1079">
        <v>0</v>
      </c>
    </row>
    <row r="25" spans="1:45" ht="14.65" customHeight="1">
      <c r="Q25" s="310"/>
      <c r="R25" s="310"/>
      <c r="S25" s="1199"/>
      <c r="T25" s="297"/>
      <c r="U25" s="297"/>
      <c r="V25" s="443"/>
      <c r="W25" s="443"/>
      <c r="X25" s="443"/>
      <c r="Y25" s="443"/>
      <c r="Z25" s="443"/>
      <c r="AA25" s="443"/>
      <c r="AB25" s="443"/>
      <c r="AC25" s="443"/>
      <c r="AD25" s="443"/>
      <c r="AE25" s="443"/>
      <c r="AF25" s="443"/>
      <c r="AG25" s="443"/>
      <c r="AH25" s="443"/>
      <c r="AI25" s="443"/>
      <c r="AJ25" s="443"/>
      <c r="AK25" s="443"/>
      <c r="AS25" s="1079">
        <v>14</v>
      </c>
    </row>
    <row r="26" spans="1:45" ht="29.25" customHeight="1">
      <c r="Q26" s="310"/>
      <c r="R26" s="310"/>
      <c r="S26" s="40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4014"/>
      <c r="U26" s="4014"/>
      <c r="V26" s="4014"/>
      <c r="W26" s="4014"/>
      <c r="X26" s="4014"/>
      <c r="Y26" s="4014"/>
      <c r="Z26" s="4014"/>
      <c r="AA26" s="4014"/>
      <c r="AB26" s="4014"/>
      <c r="AC26" s="4014"/>
      <c r="AD26" s="4014"/>
      <c r="AE26" s="4014"/>
      <c r="AF26" s="4014"/>
      <c r="AG26" s="4014"/>
      <c r="AH26" s="4014"/>
      <c r="AI26" s="4014"/>
      <c r="AJ26" s="4014"/>
      <c r="AK26" s="1167"/>
      <c r="AS26" s="1079">
        <v>28</v>
      </c>
    </row>
    <row r="27" spans="1:45" ht="14.65" customHeight="1">
      <c r="Q27" s="310"/>
      <c r="R27" s="310"/>
      <c r="S27" s="3987" t="str">
        <f>IF(org=0,"Не определено",org)</f>
        <v>ООО "Смоленскрегионтеплоэнерго"</v>
      </c>
      <c r="T27" s="3987"/>
      <c r="U27" s="3987"/>
      <c r="V27" s="3987"/>
      <c r="W27" s="3987"/>
      <c r="X27" s="3987"/>
      <c r="Y27" s="3987"/>
      <c r="Z27" s="3987"/>
      <c r="AA27" s="3987"/>
      <c r="AB27" s="3987"/>
      <c r="AC27" s="3987"/>
      <c r="AD27" s="3987"/>
      <c r="AE27" s="3987"/>
      <c r="AF27" s="3987"/>
      <c r="AG27" s="3987"/>
      <c r="AH27" s="3987"/>
      <c r="AI27" s="3987"/>
      <c r="AJ27" s="3987"/>
      <c r="AK27" s="1167"/>
      <c r="AS27" s="1079">
        <v>14</v>
      </c>
    </row>
    <row r="28" spans="1:45" ht="14.25" hidden="1" customHeight="1">
      <c r="Q28" s="310"/>
      <c r="R28" s="310"/>
      <c r="S28" s="1199"/>
      <c r="T28" s="297"/>
      <c r="U28" s="297"/>
      <c r="V28" s="257"/>
      <c r="W28" s="257"/>
      <c r="X28" s="257"/>
      <c r="Y28" s="257"/>
      <c r="Z28" s="257"/>
      <c r="AA28" s="257"/>
      <c r="AB28" s="257"/>
      <c r="AC28" s="257"/>
      <c r="AD28" s="257"/>
      <c r="AE28" s="257"/>
      <c r="AF28" s="257"/>
      <c r="AG28" s="257"/>
      <c r="AH28" s="257"/>
      <c r="AI28" s="257"/>
      <c r="AJ28" s="257"/>
      <c r="AK28" s="257"/>
      <c r="AL28" s="443"/>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4024" t="s">
        <v>29</v>
      </c>
      <c r="T29" s="4024"/>
      <c r="U29" s="1296"/>
      <c r="V29" s="4026" t="str">
        <f>IF(TITLE_NAME_OR_PR_CHANGE="",IF(TITLE_NAME_OR_PR="","",TITLE_NAME_OR_PR),TITLE_NAME_OR_PR_CHANGE)</f>
        <v/>
      </c>
      <c r="W29" s="4026"/>
      <c r="X29" s="4026"/>
      <c r="Y29" s="4026"/>
      <c r="Z29" s="4026"/>
      <c r="AA29" s="4026"/>
      <c r="AB29" s="4026"/>
      <c r="AC29" s="261"/>
      <c r="AD29" s="4026" t="str">
        <f>IF(TITLE_NAME_OR_PR_CHANGE="",IF(TITLE_NAME_OR_PR="","",TITLE_NAME_OR_PR),TITLE_NAME_OR_PR_CHANGE)</f>
        <v/>
      </c>
      <c r="AE29" s="4026"/>
      <c r="AF29" s="4026"/>
      <c r="AG29" s="4026"/>
      <c r="AH29" s="4026"/>
      <c r="AI29" s="4026"/>
      <c r="AJ29" s="4026"/>
      <c r="AK29" s="261"/>
      <c r="AL29" s="261"/>
      <c r="AM29" s="215"/>
      <c r="AN29" s="302"/>
      <c r="AO29" s="302"/>
      <c r="AP29" s="302"/>
      <c r="AQ29" s="302"/>
      <c r="AR29" s="302"/>
      <c r="AS29" s="352">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4024" t="s">
        <v>628</v>
      </c>
      <c r="T30" s="4024"/>
      <c r="U30" s="1296"/>
      <c r="V30" s="4025">
        <f>IF(TITLE_DATE_PR_CHANGE="",IF(TITLE_DATE_PR="","",TITLE_DATE_PR),TITLE_DATE_PR_CHANGE)</f>
        <v>45765</v>
      </c>
      <c r="W30" s="4025"/>
      <c r="X30" s="4025"/>
      <c r="Y30" s="4025"/>
      <c r="Z30" s="4025"/>
      <c r="AA30" s="4025"/>
      <c r="AB30" s="4025"/>
      <c r="AC30" s="261"/>
      <c r="AD30" s="4025">
        <f>IF(TITLE_DATE_PR_CHANGE="",IF(TITLE_DATE_PR="","",TITLE_DATE_PR),TITLE_DATE_PR_CHANGE)</f>
        <v>45765</v>
      </c>
      <c r="AE30" s="4025"/>
      <c r="AF30" s="4025"/>
      <c r="AG30" s="4025"/>
      <c r="AH30" s="4025"/>
      <c r="AI30" s="4025"/>
      <c r="AJ30" s="4025"/>
      <c r="AK30" s="261"/>
      <c r="AL30" s="261"/>
      <c r="AM30" s="215"/>
      <c r="AN30" s="302"/>
      <c r="AO30" s="302"/>
      <c r="AP30" s="302"/>
      <c r="AQ30" s="302"/>
      <c r="AR30" s="302"/>
      <c r="AS30" s="352">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4024" t="s">
        <v>629</v>
      </c>
      <c r="T31" s="4024"/>
      <c r="U31" s="1296"/>
      <c r="V31" s="4026" t="str">
        <f>IF(TITLE_NUMBER_PR_CHANGE="",IF(TITLE_NUMBER_PR="","",TITLE_NUMBER_PR),TITLE_NUMBER_PR_CHANGE)</f>
        <v>917</v>
      </c>
      <c r="W31" s="4026"/>
      <c r="X31" s="4026"/>
      <c r="Y31" s="4026"/>
      <c r="Z31" s="4026"/>
      <c r="AA31" s="4026"/>
      <c r="AB31" s="4026"/>
      <c r="AC31" s="261"/>
      <c r="AD31" s="4026" t="str">
        <f>IF(TITLE_NUMBER_PR_CHANGE="",IF(TITLE_NUMBER_PR="","",TITLE_NUMBER_PR),TITLE_NUMBER_PR_CHANGE)</f>
        <v>917</v>
      </c>
      <c r="AE31" s="4026"/>
      <c r="AF31" s="4026"/>
      <c r="AG31" s="4026"/>
      <c r="AH31" s="4026"/>
      <c r="AI31" s="4026"/>
      <c r="AJ31" s="4026"/>
      <c r="AK31" s="261"/>
      <c r="AL31" s="261"/>
      <c r="AM31" s="215"/>
      <c r="AN31" s="302"/>
      <c r="AO31" s="302"/>
      <c r="AP31" s="302"/>
      <c r="AQ31" s="302"/>
      <c r="AR31" s="302"/>
      <c r="AS31" s="352">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4024" t="s">
        <v>30</v>
      </c>
      <c r="T32" s="4024"/>
      <c r="U32" s="1296"/>
      <c r="V32" s="4026" t="str">
        <f>IF(TITLE_IST_PUB_CHANGE="",IF(TITLE_IST_PUB="","",TITLE_IST_PUB),TITLE_IST_PUB_CHANGE)</f>
        <v/>
      </c>
      <c r="W32" s="4026"/>
      <c r="X32" s="4026"/>
      <c r="Y32" s="4026"/>
      <c r="Z32" s="4026"/>
      <c r="AA32" s="4026"/>
      <c r="AB32" s="4026"/>
      <c r="AC32" s="261"/>
      <c r="AD32" s="4026" t="str">
        <f>IF(TITLE_IST_PUB_CHANGE="",IF(TITLE_IST_PUB="","",TITLE_IST_PUB),TITLE_IST_PUB_CHANGE)</f>
        <v/>
      </c>
      <c r="AE32" s="4026"/>
      <c r="AF32" s="4026"/>
      <c r="AG32" s="4026"/>
      <c r="AH32" s="4026"/>
      <c r="AI32" s="4026"/>
      <c r="AJ32" s="4026"/>
      <c r="AK32" s="261"/>
      <c r="AL32" s="261"/>
      <c r="AM32" s="215"/>
      <c r="AN32" s="302"/>
      <c r="AO32" s="302"/>
      <c r="AP32" s="302"/>
      <c r="AQ32" s="302"/>
      <c r="AR32" s="302"/>
      <c r="AS32" s="352">
        <v>0</v>
      </c>
    </row>
    <row r="33" spans="1:45" ht="14.25" customHeight="1">
      <c r="Q33" s="310"/>
      <c r="R33" s="310"/>
      <c r="S33" s="1199"/>
      <c r="T33" s="297"/>
      <c r="U33" s="297"/>
      <c r="V33" s="257"/>
      <c r="W33" s="257"/>
      <c r="X33" s="257"/>
      <c r="Y33" s="257"/>
      <c r="Z33" s="257"/>
      <c r="AA33" s="257"/>
      <c r="AB33" s="257"/>
      <c r="AC33" s="257"/>
      <c r="AD33" s="257"/>
      <c r="AE33" s="257"/>
      <c r="AF33" s="257"/>
      <c r="AG33" s="257"/>
      <c r="AH33" s="257"/>
      <c r="AI33" s="257"/>
      <c r="AJ33" s="257"/>
      <c r="AK33" s="257"/>
      <c r="AL33" s="443"/>
      <c r="AS33" s="1079">
        <v>0</v>
      </c>
    </row>
    <row r="34" spans="1:45" s="1748" customFormat="1" ht="18.75" customHeight="1">
      <c r="A34" s="1292"/>
      <c r="B34" s="1292"/>
      <c r="C34" s="1292"/>
      <c r="D34" s="1292"/>
      <c r="E34" s="1292"/>
      <c r="F34" s="1292"/>
      <c r="G34" s="1292"/>
      <c r="H34" s="1292"/>
      <c r="I34" s="1292"/>
      <c r="J34" s="1292"/>
      <c r="K34" s="1292"/>
      <c r="L34" s="1293"/>
      <c r="M34" s="1292"/>
      <c r="N34" s="1292"/>
      <c r="O34" s="1292"/>
      <c r="S34" s="4024" t="s">
        <v>630</v>
      </c>
      <c r="T34" s="4024"/>
      <c r="U34" s="1296"/>
      <c r="V34" s="4025">
        <f>IF(TITLE_DATE_PR_CHANGE="",IF(TITLE_DATE_PR="","",TITLE_DATE_PR),TITLE_DATE_PR_CHANGE)</f>
        <v>45765</v>
      </c>
      <c r="W34" s="4025"/>
      <c r="X34" s="4025"/>
      <c r="Y34" s="4025"/>
      <c r="Z34" s="4025"/>
      <c r="AA34" s="4025"/>
      <c r="AB34" s="4025"/>
      <c r="AC34" s="261"/>
      <c r="AD34" s="4025">
        <f>IF(TITLE_DATE_PR_CHANGE="",IF(TITLE_DATE_PR="","",TITLE_DATE_PR),TITLE_DATE_PR_CHANGE)</f>
        <v>45765</v>
      </c>
      <c r="AE34" s="4025"/>
      <c r="AF34" s="4025"/>
      <c r="AG34" s="4025"/>
      <c r="AH34" s="4025"/>
      <c r="AI34" s="4025"/>
      <c r="AJ34" s="4025"/>
      <c r="AK34" s="261"/>
      <c r="AL34" s="261"/>
      <c r="AM34" s="215"/>
      <c r="AN34" s="302"/>
      <c r="AO34" s="302"/>
      <c r="AP34" s="302"/>
      <c r="AQ34" s="302"/>
      <c r="AR34" s="302"/>
      <c r="AS34" s="352">
        <v>0</v>
      </c>
    </row>
    <row r="35" spans="1:45" s="1748" customFormat="1" ht="18.75" customHeight="1">
      <c r="A35" s="1292"/>
      <c r="B35" s="1292"/>
      <c r="C35" s="1292"/>
      <c r="D35" s="1292"/>
      <c r="E35" s="1292"/>
      <c r="F35" s="1292"/>
      <c r="G35" s="1292"/>
      <c r="H35" s="1292"/>
      <c r="I35" s="1292"/>
      <c r="J35" s="1292"/>
      <c r="K35" s="1292"/>
      <c r="L35" s="1293"/>
      <c r="M35" s="1292"/>
      <c r="N35" s="1292"/>
      <c r="O35" s="1292"/>
      <c r="S35" s="4024" t="s">
        <v>631</v>
      </c>
      <c r="T35" s="4024"/>
      <c r="U35" s="1296"/>
      <c r="V35" s="4026" t="str">
        <f>IF(TITLE_NUMBER_PR_CHANGE="",IF(TITLE_NUMBER_PR="","",TITLE_NUMBER_PR),TITLE_NUMBER_PR_CHANGE)</f>
        <v>917</v>
      </c>
      <c r="W35" s="4026"/>
      <c r="X35" s="4026"/>
      <c r="Y35" s="4026"/>
      <c r="Z35" s="4026"/>
      <c r="AA35" s="4026"/>
      <c r="AB35" s="4026"/>
      <c r="AC35" s="261"/>
      <c r="AD35" s="4026" t="str">
        <f>IF(TITLE_NUMBER_PR_CHANGE="",IF(TITLE_NUMBER_PR="","",TITLE_NUMBER_PR),TITLE_NUMBER_PR_CHANGE)</f>
        <v>917</v>
      </c>
      <c r="AE35" s="4026"/>
      <c r="AF35" s="4026"/>
      <c r="AG35" s="4026"/>
      <c r="AH35" s="4026"/>
      <c r="AI35" s="4026"/>
      <c r="AJ35" s="4026"/>
      <c r="AK35" s="261"/>
      <c r="AL35" s="261"/>
      <c r="AM35" s="215"/>
      <c r="AN35" s="302"/>
      <c r="AO35" s="302"/>
      <c r="AP35" s="302"/>
      <c r="AQ35" s="302"/>
      <c r="AR35" s="302"/>
      <c r="AS35" s="352">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632</v>
      </c>
      <c r="AD36" s="261"/>
      <c r="AE36" s="261"/>
      <c r="AF36" s="261"/>
      <c r="AG36" s="261"/>
      <c r="AH36" s="261"/>
      <c r="AI36" s="261"/>
      <c r="AJ36" s="261"/>
      <c r="AK36" s="213" t="s">
        <v>632</v>
      </c>
      <c r="AN36" s="302"/>
      <c r="AO36" s="302"/>
      <c r="AP36" s="302"/>
      <c r="AQ36" s="302"/>
      <c r="AR36" s="302"/>
      <c r="AS36" s="352">
        <v>0</v>
      </c>
    </row>
    <row r="37" spans="1:45" ht="14.65" customHeight="1">
      <c r="Q37" s="310"/>
      <c r="R37" s="310"/>
      <c r="S37" s="1199"/>
      <c r="T37" s="297"/>
      <c r="U37" s="1168"/>
      <c r="V37" s="4045"/>
      <c r="W37" s="4045"/>
      <c r="X37" s="4045"/>
      <c r="Y37" s="4045"/>
      <c r="Z37" s="4045"/>
      <c r="AA37" s="4045"/>
      <c r="AB37" s="4045"/>
      <c r="AC37" s="4045"/>
      <c r="AD37" s="4045"/>
      <c r="AE37" s="4045"/>
      <c r="AF37" s="4045"/>
      <c r="AG37" s="4045"/>
      <c r="AH37" s="4045"/>
      <c r="AI37" s="4045"/>
      <c r="AJ37" s="4045"/>
      <c r="AK37" s="4045"/>
      <c r="AS37" s="1079">
        <v>14</v>
      </c>
    </row>
    <row r="38" spans="1:45" ht="14.65" customHeight="1">
      <c r="Q38" s="310"/>
      <c r="R38" s="310"/>
      <c r="S38" s="3889" t="s">
        <v>508</v>
      </c>
      <c r="T38" s="3889"/>
      <c r="U38" s="3889"/>
      <c r="V38" s="3889"/>
      <c r="W38" s="3889"/>
      <c r="X38" s="3889"/>
      <c r="Y38" s="3889"/>
      <c r="Z38" s="3889"/>
      <c r="AA38" s="3889"/>
      <c r="AB38" s="3889"/>
      <c r="AC38" s="3889"/>
      <c r="AD38" s="3889"/>
      <c r="AE38" s="3889"/>
      <c r="AF38" s="3889"/>
      <c r="AG38" s="3889"/>
      <c r="AH38" s="3889"/>
      <c r="AI38" s="3889"/>
      <c r="AJ38" s="3889"/>
      <c r="AK38" s="3889"/>
      <c r="AL38" s="3889"/>
      <c r="AM38" s="3889" t="s">
        <v>509</v>
      </c>
      <c r="AS38" s="1079">
        <v>14</v>
      </c>
    </row>
    <row r="39" spans="1:45" ht="14.65" customHeight="1">
      <c r="Q39" s="310"/>
      <c r="R39" s="310"/>
      <c r="S39" s="4046" t="s">
        <v>75</v>
      </c>
      <c r="T39" s="3995" t="s">
        <v>633</v>
      </c>
      <c r="U39" s="236"/>
      <c r="V39" s="4047" t="s">
        <v>634</v>
      </c>
      <c r="W39" s="4048"/>
      <c r="X39" s="4063"/>
      <c r="Y39" s="4063"/>
      <c r="Z39" s="4048"/>
      <c r="AA39" s="4048"/>
      <c r="AB39" s="4049"/>
      <c r="AC39" s="4050" t="s">
        <v>635</v>
      </c>
      <c r="AD39" s="4047" t="s">
        <v>634</v>
      </c>
      <c r="AE39" s="4048"/>
      <c r="AF39" s="4063"/>
      <c r="AG39" s="4063"/>
      <c r="AH39" s="4048"/>
      <c r="AI39" s="4048"/>
      <c r="AJ39" s="4049"/>
      <c r="AK39" s="4050" t="s">
        <v>636</v>
      </c>
      <c r="AL39" s="4053" t="s">
        <v>637</v>
      </c>
      <c r="AM39" s="3889"/>
      <c r="AS39" s="1079">
        <v>14</v>
      </c>
    </row>
    <row r="40" spans="1:45" ht="24" customHeight="1">
      <c r="Q40" s="310"/>
      <c r="R40" s="310"/>
      <c r="S40" s="4046"/>
      <c r="T40" s="3995"/>
      <c r="U40" s="958"/>
      <c r="V40" s="4061" t="s">
        <v>638</v>
      </c>
      <c r="W40" s="3968" t="s">
        <v>639</v>
      </c>
      <c r="X40" s="1300" t="s">
        <v>640</v>
      </c>
      <c r="Y40" s="1300"/>
      <c r="Z40" s="3875" t="s">
        <v>641</v>
      </c>
      <c r="AA40" s="3875"/>
      <c r="AB40" s="3869"/>
      <c r="AC40" s="4051"/>
      <c r="AD40" s="4061" t="s">
        <v>638</v>
      </c>
      <c r="AE40" s="3968" t="s">
        <v>639</v>
      </c>
      <c r="AF40" s="1300" t="s">
        <v>640</v>
      </c>
      <c r="AG40" s="1300"/>
      <c r="AH40" s="3875" t="s">
        <v>641</v>
      </c>
      <c r="AI40" s="3875"/>
      <c r="AJ40" s="3869"/>
      <c r="AK40" s="4051"/>
      <c r="AL40" s="4054"/>
      <c r="AM40" s="3889"/>
      <c r="AS40" s="1079">
        <v>23</v>
      </c>
    </row>
    <row r="41" spans="1:45" s="1190" customFormat="1" ht="24" customHeight="1">
      <c r="A41" s="1294"/>
      <c r="B41" s="1294" t="s">
        <v>207</v>
      </c>
      <c r="C41" s="1294" t="s">
        <v>208</v>
      </c>
      <c r="D41" s="1294" t="s">
        <v>209</v>
      </c>
      <c r="E41" s="1288" t="s">
        <v>642</v>
      </c>
      <c r="F41" s="1288" t="s">
        <v>643</v>
      </c>
      <c r="G41" s="1288" t="s">
        <v>644</v>
      </c>
      <c r="H41" s="1288" t="s">
        <v>645</v>
      </c>
      <c r="I41" s="1288" t="s">
        <v>646</v>
      </c>
      <c r="J41" s="1288" t="s">
        <v>647</v>
      </c>
      <c r="K41" s="1288" t="s">
        <v>648</v>
      </c>
      <c r="L41" s="1288" t="s">
        <v>623</v>
      </c>
      <c r="M41" s="1286"/>
      <c r="N41" s="1286"/>
      <c r="O41" s="1286"/>
      <c r="P41" s="1252"/>
      <c r="Q41" s="310"/>
      <c r="R41" s="310"/>
      <c r="S41" s="4046"/>
      <c r="T41" s="3995"/>
      <c r="U41" s="237"/>
      <c r="V41" s="4062"/>
      <c r="W41" s="3973"/>
      <c r="X41" s="1297" t="s">
        <v>649</v>
      </c>
      <c r="Y41" s="1297" t="s">
        <v>650</v>
      </c>
      <c r="Z41" s="1258" t="s">
        <v>651</v>
      </c>
      <c r="AA41" s="4000" t="s">
        <v>652</v>
      </c>
      <c r="AB41" s="4013"/>
      <c r="AC41" s="4052"/>
      <c r="AD41" s="4062"/>
      <c r="AE41" s="3973"/>
      <c r="AF41" s="1297" t="s">
        <v>649</v>
      </c>
      <c r="AG41" s="1297" t="s">
        <v>650</v>
      </c>
      <c r="AH41" s="1258" t="s">
        <v>651</v>
      </c>
      <c r="AI41" s="4000" t="s">
        <v>652</v>
      </c>
      <c r="AJ41" s="4013"/>
      <c r="AK41" s="4052"/>
      <c r="AL41" s="4055"/>
      <c r="AM41" s="3889"/>
      <c r="AN41" s="445"/>
      <c r="AO41" s="434"/>
      <c r="AP41" s="434"/>
      <c r="AQ41" s="434"/>
      <c r="AR41" s="434"/>
      <c r="AS41" s="516">
        <v>23</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184</v>
      </c>
      <c r="T42" s="1179" t="s">
        <v>89</v>
      </c>
      <c r="U42" s="1169" t="str">
        <f ca="1">OFFSET(U42,0,-1)</f>
        <v>2</v>
      </c>
      <c r="V42" s="1259">
        <f ca="1">OFFSET(V42,0,-1)+1</f>
        <v>3</v>
      </c>
      <c r="W42" s="1259"/>
      <c r="X42" s="1265">
        <f ca="1">OFFSET(X42,0,-1)+1</f>
        <v>1</v>
      </c>
      <c r="Y42" s="1265">
        <f ca="1">OFFSET(Y42,0,-1)+1</f>
        <v>2</v>
      </c>
      <c r="Z42" s="1259">
        <f ca="1">OFFSET(Z42,0,-1)+1</f>
        <v>3</v>
      </c>
      <c r="AA42" s="4044">
        <f ca="1">OFFSET(AA42,0,-1)+1</f>
        <v>4</v>
      </c>
      <c r="AB42" s="4044"/>
      <c r="AC42" s="1259">
        <f ca="1">OFFSET(AC42,0,-2)+1</f>
        <v>5</v>
      </c>
      <c r="AD42" s="1259">
        <f ca="1">OFFSET(AD42,0,-1)+1</f>
        <v>6</v>
      </c>
      <c r="AE42" s="1259"/>
      <c r="AF42" s="1265">
        <f ca="1">OFFSET(AF42,0,-1)+1</f>
        <v>1</v>
      </c>
      <c r="AG42" s="1265">
        <f ca="1">OFFSET(AG42,0,-1)+1</f>
        <v>2</v>
      </c>
      <c r="AH42" s="1259">
        <f ca="1">OFFSET(AH42,0,-1)+1</f>
        <v>3</v>
      </c>
      <c r="AI42" s="4044">
        <f ca="1">OFFSET(AI42,0,-1)+1</f>
        <v>4</v>
      </c>
      <c r="AJ42" s="4044"/>
      <c r="AK42" s="1259">
        <f ca="1">OFFSET(AK42,0,-2)+1</f>
        <v>5</v>
      </c>
      <c r="AL42" s="1169">
        <f ca="1">OFFSET(AL42,0,-1)</f>
        <v>5</v>
      </c>
      <c r="AM42" s="1259">
        <f ca="1">OFFSET(AM42,0,-1)+1</f>
        <v>6</v>
      </c>
      <c r="AN42" s="445"/>
      <c r="AO42" s="445"/>
      <c r="AP42" s="445"/>
      <c r="AQ42" s="445"/>
      <c r="AR42" s="445"/>
      <c r="AS42" s="430">
        <v>0</v>
      </c>
    </row>
    <row r="43" spans="1:45" ht="21.95" customHeight="1">
      <c r="A43" s="1287" t="s">
        <v>402</v>
      </c>
      <c r="B43" s="1287"/>
      <c r="C43" s="1287"/>
      <c r="D43" s="1287"/>
      <c r="E43" s="4033">
        <v>1</v>
      </c>
      <c r="F43" s="1287"/>
      <c r="G43" s="1287"/>
      <c r="H43" s="1287"/>
      <c r="I43" s="1287"/>
      <c r="J43" s="1287"/>
      <c r="K43" s="1287"/>
      <c r="L43" s="1288"/>
      <c r="M43" s="1289"/>
      <c r="N43" s="1289"/>
      <c r="O43" s="1289"/>
      <c r="P43" s="295"/>
      <c r="Q43" s="294"/>
      <c r="R43" s="289"/>
      <c r="S43" s="1260">
        <f>INDEX(PT_DIFFERENTIATION_NUM_NTAR,MATCH(A43,PT_DIFFERENTIATION_NTAR_ID,0))</f>
        <v>0</v>
      </c>
      <c r="T43" s="233" t="s">
        <v>195</v>
      </c>
      <c r="U43" s="235"/>
      <c r="V43" s="4027"/>
      <c r="W43" s="4028"/>
      <c r="X43" s="4028"/>
      <c r="Y43" s="4028"/>
      <c r="Z43" s="4028"/>
      <c r="AA43" s="4028"/>
      <c r="AB43" s="4028"/>
      <c r="AC43" s="4029"/>
      <c r="AD43" s="4027" t="str">
        <f>INDEX(PT_DIFFERENTIATION_NTAR,MATCH(A43,PT_DIFFERENTIATION_NTAR_ID,0))</f>
        <v/>
      </c>
      <c r="AE43" s="4028"/>
      <c r="AF43" s="4028"/>
      <c r="AG43" s="4028"/>
      <c r="AH43" s="4028"/>
      <c r="AI43" s="4028"/>
      <c r="AJ43" s="4028"/>
      <c r="AK43" s="4028"/>
      <c r="AL43" s="4029"/>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9">
        <v>21</v>
      </c>
    </row>
    <row r="44" spans="1:45" ht="21.95" customHeight="1">
      <c r="A44" s="1287" t="s">
        <v>402</v>
      </c>
      <c r="B44" s="1287" t="s">
        <v>403</v>
      </c>
      <c r="C44" s="1287"/>
      <c r="D44" s="1287"/>
      <c r="E44" s="4034"/>
      <c r="F44" s="4033">
        <v>1</v>
      </c>
      <c r="G44" s="1287"/>
      <c r="H44" s="1287"/>
      <c r="I44" s="1287"/>
      <c r="J44" s="1287"/>
      <c r="K44" s="1287"/>
      <c r="L44" s="1288"/>
      <c r="M44" s="1289"/>
      <c r="N44" s="1289"/>
      <c r="O44" s="1289"/>
      <c r="P44" s="1256"/>
      <c r="Q44" s="286"/>
      <c r="R44" s="287"/>
      <c r="S44" s="1260" t="str">
        <f>INDEX(PT_DIFFERENTIATION_NUM_TER,MATCH(B44,PT_DIFFERENTIATION_TER_ID,0))</f>
        <v>.</v>
      </c>
      <c r="T44" s="243" t="s">
        <v>605</v>
      </c>
      <c r="U44" s="235"/>
      <c r="V44" s="4027"/>
      <c r="W44" s="4028"/>
      <c r="X44" s="4028"/>
      <c r="Y44" s="4028"/>
      <c r="Z44" s="4028"/>
      <c r="AA44" s="4028"/>
      <c r="AB44" s="4028"/>
      <c r="AC44" s="4029"/>
      <c r="AD44" s="4027" t="str">
        <f>INDEX(PT_DIFFERENTIATION_TER,MATCH(B44,PT_DIFFERENTIATION_TER_ID,0))</f>
        <v/>
      </c>
      <c r="AE44" s="4028"/>
      <c r="AF44" s="4028"/>
      <c r="AG44" s="4028"/>
      <c r="AH44" s="4028"/>
      <c r="AI44" s="4028"/>
      <c r="AJ44" s="4028"/>
      <c r="AK44" s="4028"/>
      <c r="AL44" s="4029"/>
      <c r="AM44" s="1182" t="s">
        <v>606</v>
      </c>
      <c r="AO44" s="434"/>
      <c r="AP44" s="434" t="str">
        <f t="shared" si="1"/>
        <v>Территория действия тарифа</v>
      </c>
      <c r="AQ44" s="434"/>
      <c r="AR44" s="434"/>
      <c r="AS44" s="1079">
        <v>21</v>
      </c>
    </row>
    <row r="45" spans="1:45" ht="24" customHeight="1">
      <c r="A45" s="1287" t="s">
        <v>402</v>
      </c>
      <c r="B45" s="1287" t="s">
        <v>403</v>
      </c>
      <c r="C45" s="1287" t="s">
        <v>404</v>
      </c>
      <c r="D45" s="1287"/>
      <c r="E45" s="4034"/>
      <c r="F45" s="4034"/>
      <c r="G45" s="4033">
        <v>1</v>
      </c>
      <c r="H45" s="1287"/>
      <c r="I45" s="1287"/>
      <c r="J45" s="1287"/>
      <c r="K45" s="1287"/>
      <c r="L45" s="1288"/>
      <c r="M45" s="1289"/>
      <c r="N45" s="1289"/>
      <c r="O45" s="1289"/>
      <c r="P45" s="288"/>
      <c r="Q45" s="286"/>
      <c r="R45" s="287"/>
      <c r="S45" s="1260" t="str">
        <f>INDEX(PT_DIFFERENTIATION_NUM_CS,MATCH(C45,PT_DIFFERENTIATION_CS_ID,0))</f>
        <v>..</v>
      </c>
      <c r="T45" s="244" t="s">
        <v>607</v>
      </c>
      <c r="U45" s="235"/>
      <c r="V45" s="4027"/>
      <c r="W45" s="4028"/>
      <c r="X45" s="4028"/>
      <c r="Y45" s="4028"/>
      <c r="Z45" s="4028"/>
      <c r="AA45" s="4028"/>
      <c r="AB45" s="4028"/>
      <c r="AC45" s="4029"/>
      <c r="AD45" s="4027" t="str">
        <f>INDEX(PT_DIFFERENTIATION_CS,MATCH(C45,PT_DIFFERENTIATION_CS_ID,0))</f>
        <v/>
      </c>
      <c r="AE45" s="4028"/>
      <c r="AF45" s="4028"/>
      <c r="AG45" s="4028"/>
      <c r="AH45" s="4028"/>
      <c r="AI45" s="4028"/>
      <c r="AJ45" s="4028"/>
      <c r="AK45" s="4028"/>
      <c r="AL45" s="4029"/>
      <c r="AM45" s="1182" t="s">
        <v>608</v>
      </c>
      <c r="AO45" s="434"/>
      <c r="AP45" s="434" t="str">
        <f t="shared" si="1"/>
        <v xml:space="preserve">Наименование системы теплоснабжения </v>
      </c>
      <c r="AQ45" s="434"/>
      <c r="AR45" s="434"/>
      <c r="AS45" s="1079">
        <v>23</v>
      </c>
    </row>
    <row r="46" spans="1:45" ht="21.95" customHeight="1">
      <c r="A46" s="1287" t="s">
        <v>402</v>
      </c>
      <c r="B46" s="1287" t="s">
        <v>403</v>
      </c>
      <c r="C46" s="1287" t="s">
        <v>404</v>
      </c>
      <c r="D46" s="1287" t="s">
        <v>405</v>
      </c>
      <c r="E46" s="4034"/>
      <c r="F46" s="4034"/>
      <c r="G46" s="4034"/>
      <c r="H46" s="4033">
        <v>1</v>
      </c>
      <c r="I46" s="1287"/>
      <c r="J46" s="1287"/>
      <c r="K46" s="1287"/>
      <c r="L46" s="1288"/>
      <c r="M46" s="1289"/>
      <c r="N46" s="1289"/>
      <c r="O46" s="1289"/>
      <c r="P46" s="288"/>
      <c r="Q46" s="286"/>
      <c r="R46" s="287"/>
      <c r="S46" s="1260" t="str">
        <f>INDEX(PT_DIFFERENTIATION_NUM_IST_TE,MATCH(D46,PT_DIFFERENTIATION_IST_TE_ID,0))</f>
        <v>...</v>
      </c>
      <c r="T46" s="245" t="s">
        <v>609</v>
      </c>
      <c r="U46" s="235"/>
      <c r="V46" s="4027"/>
      <c r="W46" s="4028"/>
      <c r="X46" s="4028"/>
      <c r="Y46" s="4028"/>
      <c r="Z46" s="4028"/>
      <c r="AA46" s="4028"/>
      <c r="AB46" s="4028"/>
      <c r="AC46" s="4029"/>
      <c r="AD46" s="4027" t="str">
        <f>INDEX(PT_DIFFERENTIATION_IST_TE,MATCH(D46,PT_DIFFERENTIATION_IST_TE_ID,0))</f>
        <v/>
      </c>
      <c r="AE46" s="4028"/>
      <c r="AF46" s="4028"/>
      <c r="AG46" s="4028"/>
      <c r="AH46" s="4028"/>
      <c r="AI46" s="4028"/>
      <c r="AJ46" s="4028"/>
      <c r="AK46" s="4028"/>
      <c r="AL46" s="4029"/>
      <c r="AM46" s="1182" t="s">
        <v>610</v>
      </c>
      <c r="AO46" s="434"/>
      <c r="AP46" s="434" t="str">
        <f t="shared" si="1"/>
        <v xml:space="preserve">Источник тепловой энергии  </v>
      </c>
      <c r="AQ46" s="434"/>
      <c r="AR46" s="434"/>
      <c r="AS46" s="1079">
        <v>21</v>
      </c>
    </row>
    <row r="47" spans="1:45" ht="49.5" customHeight="1">
      <c r="A47" s="1287" t="s">
        <v>402</v>
      </c>
      <c r="B47" s="1287" t="s">
        <v>403</v>
      </c>
      <c r="C47" s="1287" t="s">
        <v>404</v>
      </c>
      <c r="D47" s="1287" t="s">
        <v>405</v>
      </c>
      <c r="E47" s="4034"/>
      <c r="F47" s="4034"/>
      <c r="G47" s="4034"/>
      <c r="H47" s="4034"/>
      <c r="I47" s="4035" t="str">
        <f>S46&amp;".1"</f>
        <v>....1</v>
      </c>
      <c r="J47" s="1287"/>
      <c r="K47" s="1287"/>
      <c r="L47" s="1288" t="s">
        <v>611</v>
      </c>
      <c r="P47" s="4037">
        <v>1</v>
      </c>
      <c r="Q47" s="1255"/>
      <c r="R47" s="290"/>
      <c r="S47" s="1260" t="str">
        <f>$I47</f>
        <v>....1</v>
      </c>
      <c r="T47" s="220" t="s">
        <v>612</v>
      </c>
      <c r="U47" s="235"/>
      <c r="V47" s="4021"/>
      <c r="W47" s="4022"/>
      <c r="X47" s="4022"/>
      <c r="Y47" s="4022"/>
      <c r="Z47" s="4022"/>
      <c r="AA47" s="4022"/>
      <c r="AB47" s="4022"/>
      <c r="AC47" s="4023"/>
      <c r="AD47" s="4021"/>
      <c r="AE47" s="4022"/>
      <c r="AF47" s="4022"/>
      <c r="AG47" s="4022"/>
      <c r="AH47" s="4022"/>
      <c r="AI47" s="4022"/>
      <c r="AJ47" s="4022"/>
      <c r="AK47" s="4022"/>
      <c r="AL47" s="4023"/>
      <c r="AM47" s="1182" t="s">
        <v>613</v>
      </c>
      <c r="AO47" s="434"/>
      <c r="AP47" s="434" t="str">
        <f t="shared" si="1"/>
        <v>Схема подключения теплопотребляющей установки к коллектору источника тепловой энергии</v>
      </c>
      <c r="AQ47" s="434"/>
      <c r="AR47" s="434"/>
      <c r="AS47" s="1079">
        <v>47</v>
      </c>
    </row>
    <row r="48" spans="1:45" ht="21.95" customHeight="1">
      <c r="A48" s="1287" t="s">
        <v>402</v>
      </c>
      <c r="B48" s="1287" t="s">
        <v>403</v>
      </c>
      <c r="C48" s="1287" t="s">
        <v>404</v>
      </c>
      <c r="D48" s="1287" t="s">
        <v>405</v>
      </c>
      <c r="E48" s="4034"/>
      <c r="F48" s="4034"/>
      <c r="G48" s="4034"/>
      <c r="H48" s="4034"/>
      <c r="I48" s="4036"/>
      <c r="J48" s="4035" t="str">
        <f>I47&amp;".1"</f>
        <v>....1.1</v>
      </c>
      <c r="K48" s="1287"/>
      <c r="L48" s="1288" t="s">
        <v>614</v>
      </c>
      <c r="P48" s="4037"/>
      <c r="Q48" s="4037">
        <v>1</v>
      </c>
      <c r="R48" s="291"/>
      <c r="S48" s="1260" t="str">
        <f>$J48</f>
        <v>....1.1</v>
      </c>
      <c r="T48" s="221" t="s">
        <v>615</v>
      </c>
      <c r="U48" s="235"/>
      <c r="V48" s="4021"/>
      <c r="W48" s="4022"/>
      <c r="X48" s="4022"/>
      <c r="Y48" s="4022"/>
      <c r="Z48" s="4022"/>
      <c r="AA48" s="4022"/>
      <c r="AB48" s="4022"/>
      <c r="AC48" s="4023"/>
      <c r="AD48" s="4021"/>
      <c r="AE48" s="4022"/>
      <c r="AF48" s="4022"/>
      <c r="AG48" s="4022"/>
      <c r="AH48" s="4022"/>
      <c r="AI48" s="4022"/>
      <c r="AJ48" s="4022"/>
      <c r="AK48" s="4022"/>
      <c r="AL48" s="4023"/>
      <c r="AM48" s="1182" t="s">
        <v>616</v>
      </c>
      <c r="AO48" s="434"/>
      <c r="AP48" s="434" t="str">
        <f t="shared" si="1"/>
        <v>Группа потребителей</v>
      </c>
      <c r="AQ48" s="434"/>
      <c r="AR48" s="434"/>
      <c r="AS48" s="1079">
        <v>21</v>
      </c>
    </row>
    <row r="49" spans="1:45" ht="21.95" customHeight="1">
      <c r="A49" s="1287" t="s">
        <v>402</v>
      </c>
      <c r="B49" s="1287" t="s">
        <v>403</v>
      </c>
      <c r="C49" s="1287" t="s">
        <v>404</v>
      </c>
      <c r="D49" s="1287" t="s">
        <v>405</v>
      </c>
      <c r="E49" s="4034"/>
      <c r="F49" s="4034"/>
      <c r="G49" s="4034"/>
      <c r="H49" s="4034"/>
      <c r="I49" s="4036"/>
      <c r="J49" s="4036"/>
      <c r="K49" s="4035" t="str">
        <f>J48&amp;".1"</f>
        <v>....1.1.1</v>
      </c>
      <c r="L49" s="1288" t="s">
        <v>617</v>
      </c>
      <c r="P49" s="4037"/>
      <c r="Q49" s="4037"/>
      <c r="R49" s="291">
        <v>1</v>
      </c>
      <c r="S49" s="1260" t="str">
        <f>$K49</f>
        <v>....1.1.1</v>
      </c>
      <c r="T49" s="1271"/>
      <c r="U49" s="235"/>
      <c r="V49" s="260"/>
      <c r="W49" s="685"/>
      <c r="X49" s="260"/>
      <c r="Y49" s="318"/>
      <c r="Z49" s="4038"/>
      <c r="AA49" s="3899" t="s">
        <v>53</v>
      </c>
      <c r="AB49" s="4038"/>
      <c r="AC49" s="3899" t="s">
        <v>53</v>
      </c>
      <c r="AD49" s="260"/>
      <c r="AE49" s="685"/>
      <c r="AF49" s="260"/>
      <c r="AG49" s="318"/>
      <c r="AH49" s="4038"/>
      <c r="AI49" s="3899" t="s">
        <v>53</v>
      </c>
      <c r="AJ49" s="4040"/>
      <c r="AK49" s="3899" t="s">
        <v>53</v>
      </c>
      <c r="AL49" s="1272"/>
      <c r="AM49" s="4056" t="s">
        <v>618</v>
      </c>
      <c r="AN49" s="445" t="e">
        <f ca="1">STRCHECKDATE(V50:AL50)</f>
        <v>#NAME?</v>
      </c>
      <c r="AO49" s="434"/>
      <c r="AP49" s="434" t="str">
        <f t="shared" si="1"/>
        <v/>
      </c>
      <c r="AQ49" s="434"/>
      <c r="AR49" s="434"/>
      <c r="AS49" s="1079">
        <v>21</v>
      </c>
    </row>
    <row r="50" spans="1:45" ht="1.1499999999999999" customHeight="1">
      <c r="A50" s="1287" t="s">
        <v>402</v>
      </c>
      <c r="B50" s="1287" t="s">
        <v>403</v>
      </c>
      <c r="C50" s="1287" t="s">
        <v>404</v>
      </c>
      <c r="D50" s="1287" t="s">
        <v>405</v>
      </c>
      <c r="E50" s="4034"/>
      <c r="F50" s="4034"/>
      <c r="G50" s="4034"/>
      <c r="H50" s="4034"/>
      <c r="I50" s="4036"/>
      <c r="J50" s="4036"/>
      <c r="K50" s="4035"/>
      <c r="L50" s="1288"/>
      <c r="P50" s="4037"/>
      <c r="Q50" s="4037"/>
      <c r="R50" s="291"/>
      <c r="S50" s="1266"/>
      <c r="T50" s="235"/>
      <c r="U50" s="235"/>
      <c r="V50" s="260"/>
      <c r="W50" s="260"/>
      <c r="X50" s="260"/>
      <c r="Y50" s="263" t="str">
        <f>Z49&amp;"-"&amp;AB49</f>
        <v>-</v>
      </c>
      <c r="Z50" s="4039"/>
      <c r="AA50" s="3899"/>
      <c r="AB50" s="4039"/>
      <c r="AC50" s="3899"/>
      <c r="AD50" s="260"/>
      <c r="AE50" s="260"/>
      <c r="AF50" s="260"/>
      <c r="AG50" s="263" t="str">
        <f>AH49&amp;"-"&amp;AJ49</f>
        <v>-</v>
      </c>
      <c r="AH50" s="4039"/>
      <c r="AI50" s="3899"/>
      <c r="AJ50" s="4041"/>
      <c r="AK50" s="3899"/>
      <c r="AL50" s="1273"/>
      <c r="AM50" s="4057"/>
      <c r="AO50" s="434"/>
      <c r="AP50" s="434" t="str">
        <f t="shared" si="1"/>
        <v/>
      </c>
      <c r="AQ50" s="434"/>
      <c r="AR50" s="434"/>
      <c r="AS50" s="1079">
        <v>1</v>
      </c>
    </row>
    <row r="51" spans="1:45" ht="11.45" customHeight="1">
      <c r="A51" s="1287" t="s">
        <v>402</v>
      </c>
      <c r="B51" s="1287" t="s">
        <v>403</v>
      </c>
      <c r="C51" s="1287" t="s">
        <v>404</v>
      </c>
      <c r="D51" s="1287" t="s">
        <v>405</v>
      </c>
      <c r="E51" s="4034"/>
      <c r="F51" s="4034"/>
      <c r="G51" s="4034"/>
      <c r="H51" s="4034"/>
      <c r="I51" s="4036"/>
      <c r="J51" s="4035"/>
      <c r="K51" s="1287"/>
      <c r="L51" s="1288"/>
      <c r="P51" s="4037"/>
      <c r="Q51" s="4037"/>
      <c r="R51" s="290"/>
      <c r="S51" s="1202"/>
      <c r="T51" s="223" t="s">
        <v>619</v>
      </c>
      <c r="U51" s="301"/>
      <c r="V51" s="301"/>
      <c r="W51" s="301"/>
      <c r="X51" s="301"/>
      <c r="Y51" s="301"/>
      <c r="Z51" s="301"/>
      <c r="AA51" s="301"/>
      <c r="AB51" s="301"/>
      <c r="AC51" s="301"/>
      <c r="AD51" s="301"/>
      <c r="AE51" s="301"/>
      <c r="AF51" s="301"/>
      <c r="AG51" s="301"/>
      <c r="AH51" s="301"/>
      <c r="AI51" s="301"/>
      <c r="AJ51" s="301"/>
      <c r="AK51" s="301"/>
      <c r="AL51" s="259"/>
      <c r="AM51" s="4058"/>
      <c r="AO51" s="434"/>
      <c r="AP51" s="434" t="str">
        <f t="shared" si="1"/>
        <v>Добавить вид теплоносителя (параметры теплоносителя)</v>
      </c>
      <c r="AQ51" s="434"/>
      <c r="AR51" s="434"/>
      <c r="AS51" s="1079">
        <v>11</v>
      </c>
    </row>
    <row r="52" spans="1:45" ht="11.45" customHeight="1">
      <c r="A52" s="1287" t="s">
        <v>402</v>
      </c>
      <c r="B52" s="1287" t="s">
        <v>403</v>
      </c>
      <c r="C52" s="1287" t="s">
        <v>404</v>
      </c>
      <c r="D52" s="1287" t="s">
        <v>405</v>
      </c>
      <c r="E52" s="4034"/>
      <c r="F52" s="4034"/>
      <c r="G52" s="4034"/>
      <c r="H52" s="4034"/>
      <c r="I52" s="4035"/>
      <c r="J52" s="1287"/>
      <c r="K52" s="1287"/>
      <c r="L52" s="1288"/>
      <c r="P52" s="4037"/>
      <c r="Q52" s="1255"/>
      <c r="R52" s="290"/>
      <c r="S52" s="1202"/>
      <c r="T52" s="222" t="s">
        <v>620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9">
        <v>11</v>
      </c>
    </row>
    <row r="53" spans="1:45" ht="14.65" customHeight="1">
      <c r="A53" s="1287" t="s">
        <v>402</v>
      </c>
      <c r="B53" s="1287" t="s">
        <v>403</v>
      </c>
      <c r="C53" s="1287" t="s">
        <v>404</v>
      </c>
      <c r="D53" s="1287" t="s">
        <v>405</v>
      </c>
      <c r="E53" s="4034"/>
      <c r="F53" s="4034"/>
      <c r="G53" s="4034"/>
      <c r="H53" s="4033"/>
      <c r="I53" s="1287"/>
      <c r="J53" s="1287"/>
      <c r="K53" s="1287"/>
      <c r="L53" s="1288"/>
      <c r="M53" s="1289"/>
      <c r="N53" s="1289"/>
      <c r="O53" s="471"/>
      <c r="P53" s="294"/>
      <c r="Q53" s="309"/>
      <c r="R53" s="289"/>
      <c r="S53" s="1202"/>
      <c r="T53" s="299" t="s">
        <v>621</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9">
        <v>14</v>
      </c>
    </row>
    <row r="54" spans="1:45" s="1566" customFormat="1" ht="1.1499999999999999" customHeight="1">
      <c r="A54" s="1267" t="s">
        <v>402</v>
      </c>
      <c r="B54" s="1267" t="s">
        <v>403</v>
      </c>
      <c r="C54" s="1267" t="s">
        <v>404</v>
      </c>
      <c r="D54" s="1238"/>
      <c r="E54" s="4034"/>
      <c r="F54" s="4034"/>
      <c r="G54" s="4033"/>
      <c r="H54" s="1238"/>
      <c r="I54" s="1238"/>
      <c r="J54" s="1238"/>
      <c r="K54" s="1238"/>
      <c r="L54" s="1263"/>
      <c r="M54" s="1239"/>
      <c r="N54" s="1239"/>
      <c r="P54" s="1240"/>
      <c r="Q54" s="1241"/>
      <c r="R54" s="1240"/>
      <c r="S54" s="1246"/>
      <c r="T54" s="1249" t="s">
        <v>235</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2">
        <v>1</v>
      </c>
    </row>
    <row r="55" spans="1:45" s="1566" customFormat="1" ht="1.1499999999999999" customHeight="1">
      <c r="A55" s="1267" t="s">
        <v>402</v>
      </c>
      <c r="B55" s="1267" t="s">
        <v>403</v>
      </c>
      <c r="C55" s="1238"/>
      <c r="D55" s="1238"/>
      <c r="E55" s="4034"/>
      <c r="F55" s="4033"/>
      <c r="G55" s="1238"/>
      <c r="H55" s="1238"/>
      <c r="I55" s="1238"/>
      <c r="J55" s="1238"/>
      <c r="K55" s="1238"/>
      <c r="L55" s="1263"/>
      <c r="M55" s="1245"/>
      <c r="N55" s="1245"/>
      <c r="P55" s="1240"/>
      <c r="Q55" s="1241"/>
      <c r="R55" s="1240"/>
      <c r="S55" s="1246"/>
      <c r="T55" s="1249" t="s">
        <v>236</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2">
        <v>1</v>
      </c>
    </row>
    <row r="56" spans="1:45" s="1566" customFormat="1" ht="1.1499999999999999" customHeight="1">
      <c r="A56" s="1267" t="s">
        <v>402</v>
      </c>
      <c r="B56" s="1267"/>
      <c r="C56" s="1267"/>
      <c r="D56" s="1267"/>
      <c r="E56" s="4033"/>
      <c r="F56" s="1267"/>
      <c r="G56" s="1267"/>
      <c r="H56" s="1267"/>
      <c r="I56" s="1267"/>
      <c r="J56" s="1267"/>
      <c r="K56" s="1267"/>
      <c r="L56" s="1270"/>
      <c r="M56" s="1245"/>
      <c r="N56" s="1245"/>
      <c r="O56" s="452"/>
      <c r="P56" s="314"/>
      <c r="Q56" s="1268"/>
      <c r="R56" s="314"/>
      <c r="S56" s="1246"/>
      <c r="T56" s="1249" t="s">
        <v>286</v>
      </c>
      <c r="U56" s="1248"/>
      <c r="V56" s="1248"/>
      <c r="W56" s="1248"/>
      <c r="X56" s="1248"/>
      <c r="Y56" s="1248"/>
      <c r="Z56" s="1248"/>
      <c r="AA56" s="1248"/>
      <c r="AB56" s="1248"/>
      <c r="AC56" s="1248"/>
      <c r="AD56" s="1248"/>
      <c r="AE56" s="1248"/>
      <c r="AF56" s="1248"/>
      <c r="AG56" s="1248"/>
      <c r="AH56" s="1248"/>
      <c r="AI56" s="1248"/>
      <c r="AJ56" s="1248"/>
      <c r="AK56" s="1248"/>
      <c r="AL56" s="1248"/>
      <c r="AM56" s="1248"/>
      <c r="AO56" s="434"/>
      <c r="AP56" s="434" t="str">
        <f t="shared" si="1"/>
        <v>Добавить территорию для дифференциации</v>
      </c>
      <c r="AQ56" s="434"/>
      <c r="AR56" s="434"/>
      <c r="AS56" s="445">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287</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2">
        <v>1</v>
      </c>
    </row>
    <row r="58" spans="1:45" ht="11.45" customHeight="1">
      <c r="M58" s="1084"/>
      <c r="N58" s="1084"/>
      <c r="O58" s="471"/>
      <c r="P58" s="1079"/>
      <c r="Q58" s="1079"/>
      <c r="R58" s="1079"/>
      <c r="S58" s="1079"/>
      <c r="AN58" s="1079"/>
      <c r="AO58" s="1079"/>
      <c r="AP58" s="1079"/>
      <c r="AQ58" s="1079"/>
      <c r="AR58" s="1079"/>
      <c r="AS58" s="1079">
        <v>11</v>
      </c>
    </row>
    <row r="59" spans="1:45" ht="28.5" customHeight="1">
      <c r="O59" s="471"/>
      <c r="S59" s="1177"/>
      <c r="T59" s="4032"/>
      <c r="U59" s="4032"/>
      <c r="V59" s="4032"/>
      <c r="W59" s="4032"/>
      <c r="X59" s="4032"/>
      <c r="Y59" s="4032"/>
      <c r="Z59" s="4032"/>
      <c r="AA59" s="4032"/>
      <c r="AB59" s="4032"/>
      <c r="AC59" s="4032"/>
      <c r="AD59" s="4032"/>
      <c r="AE59" s="4032"/>
      <c r="AF59" s="4032"/>
      <c r="AG59" s="4032"/>
      <c r="AH59" s="4032"/>
      <c r="AI59" s="4032"/>
      <c r="AJ59" s="4032"/>
      <c r="AK59" s="4032"/>
      <c r="AL59" s="4032"/>
      <c r="AM59" s="4032"/>
      <c r="AS59" s="1079">
        <v>27</v>
      </c>
    </row>
    <row r="60" spans="1:45" ht="78.75" customHeight="1">
      <c r="O60" s="471"/>
      <c r="T60" s="4032"/>
      <c r="U60" s="4032"/>
      <c r="V60" s="4032"/>
      <c r="W60" s="4032"/>
      <c r="X60" s="4032"/>
      <c r="Y60" s="4032"/>
      <c r="Z60" s="4032"/>
      <c r="AA60" s="4032"/>
      <c r="AB60" s="4032"/>
      <c r="AC60" s="4032"/>
      <c r="AD60" s="4032"/>
      <c r="AE60" s="4032"/>
      <c r="AF60" s="4032"/>
      <c r="AG60" s="4032"/>
      <c r="AH60" s="4032"/>
      <c r="AI60" s="4032"/>
      <c r="AJ60" s="4032"/>
      <c r="AK60" s="4032"/>
      <c r="AL60" s="4032"/>
      <c r="AM60" s="4032"/>
      <c r="AS60" s="1079">
        <v>75</v>
      </c>
    </row>
    <row r="61" spans="1:45" ht="14.65" customHeight="1">
      <c r="O61" s="471"/>
      <c r="AS61" s="1079">
        <v>14</v>
      </c>
    </row>
    <row r="62" spans="1:45" ht="18.75" customHeight="1">
      <c r="O62" s="471"/>
      <c r="S62" s="1177"/>
      <c r="T62" s="4032"/>
      <c r="U62" s="4032"/>
      <c r="V62" s="4032"/>
      <c r="W62" s="4032"/>
      <c r="X62" s="4032"/>
      <c r="Y62" s="4032"/>
      <c r="Z62" s="4032"/>
      <c r="AA62" s="4032"/>
      <c r="AB62" s="4032"/>
      <c r="AC62" s="4032"/>
      <c r="AD62" s="4032"/>
      <c r="AE62" s="4032"/>
      <c r="AF62" s="4032"/>
      <c r="AG62" s="4032"/>
      <c r="AH62" s="4032"/>
      <c r="AI62" s="4032"/>
      <c r="AJ62" s="4032"/>
      <c r="AK62" s="4032"/>
      <c r="AL62" s="4032"/>
      <c r="AM62" s="4032"/>
      <c r="AS62" s="1079">
        <v>18</v>
      </c>
    </row>
    <row r="63" spans="1:45" ht="18.75" customHeight="1">
      <c r="O63" s="471"/>
      <c r="T63" s="4032"/>
      <c r="U63" s="4032"/>
      <c r="V63" s="4032"/>
      <c r="W63" s="4032"/>
      <c r="X63" s="4032"/>
      <c r="Y63" s="4032"/>
      <c r="Z63" s="4032"/>
      <c r="AA63" s="4032"/>
      <c r="AB63" s="4032"/>
      <c r="AC63" s="4032"/>
      <c r="AD63" s="4032"/>
      <c r="AE63" s="4032"/>
      <c r="AF63" s="4032"/>
      <c r="AG63" s="4032"/>
      <c r="AH63" s="4032"/>
      <c r="AI63" s="4032"/>
      <c r="AJ63" s="4032"/>
      <c r="AK63" s="4032"/>
      <c r="AL63" s="4032"/>
      <c r="AM63" s="4032"/>
      <c r="AS63" s="1079">
        <v>18</v>
      </c>
    </row>
    <row r="64" spans="1:45" ht="39.75" customHeight="1">
      <c r="O64" s="471"/>
      <c r="S64" s="1177"/>
      <c r="T64" s="4032"/>
      <c r="U64" s="4032"/>
      <c r="V64" s="4032"/>
      <c r="W64" s="4032"/>
      <c r="X64" s="4032"/>
      <c r="Y64" s="4032"/>
      <c r="Z64" s="4032"/>
      <c r="AA64" s="4032"/>
      <c r="AB64" s="4032"/>
      <c r="AC64" s="4032"/>
      <c r="AD64" s="4032"/>
      <c r="AE64" s="4032"/>
      <c r="AF64" s="4032"/>
      <c r="AG64" s="4032"/>
      <c r="AH64" s="4032"/>
      <c r="AI64" s="4032"/>
      <c r="AJ64" s="4032"/>
      <c r="AK64" s="4032"/>
      <c r="AL64" s="4032"/>
      <c r="AM64" s="4032"/>
      <c r="AS64" s="1079">
        <v>38</v>
      </c>
    </row>
    <row r="65" spans="1:45" ht="22.5" hidden="1" customHeight="1">
      <c r="A65" s="1084" t="s">
        <v>69</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79">
        <v>3</v>
      </c>
      <c r="R65" s="279">
        <v>3</v>
      </c>
      <c r="S65" s="515">
        <v>12</v>
      </c>
      <c r="T65" s="1079">
        <v>31</v>
      </c>
      <c r="U65" s="1079">
        <v>0</v>
      </c>
      <c r="V65" s="1079">
        <v>0</v>
      </c>
      <c r="W65" s="1079">
        <v>0</v>
      </c>
      <c r="X65" s="1079">
        <v>0</v>
      </c>
      <c r="Y65" s="1079">
        <v>0</v>
      </c>
      <c r="Z65" s="1079">
        <v>0</v>
      </c>
      <c r="AA65" s="1079">
        <v>0</v>
      </c>
      <c r="AB65" s="1079">
        <v>0</v>
      </c>
      <c r="AC65" s="1079">
        <v>0</v>
      </c>
      <c r="AD65" s="1079">
        <v>0</v>
      </c>
      <c r="AE65" s="1079">
        <v>24</v>
      </c>
      <c r="AF65" s="1079">
        <v>0</v>
      </c>
      <c r="AG65" s="1079">
        <v>0</v>
      </c>
      <c r="AH65" s="1079">
        <v>11</v>
      </c>
      <c r="AI65" s="1079">
        <v>3</v>
      </c>
      <c r="AJ65" s="1079">
        <v>11</v>
      </c>
      <c r="AK65" s="1079">
        <v>0</v>
      </c>
      <c r="AL65" s="1079">
        <v>4</v>
      </c>
      <c r="AM65" s="1079">
        <v>115</v>
      </c>
      <c r="AN65" s="445">
        <v>10</v>
      </c>
      <c r="AO65" s="445">
        <v>10</v>
      </c>
      <c r="AP65" s="445">
        <v>10</v>
      </c>
      <c r="AQ65" s="445">
        <v>10</v>
      </c>
      <c r="AR65" s="445">
        <v>10</v>
      </c>
      <c r="AS65" s="1079">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332"/>
  <sheetViews>
    <sheetView showGridLines="0" zoomScale="90" workbookViewId="0">
      <pane xSplit="29" ySplit="42" topLeftCell="AD268" activePane="bottomRight" state="frozen"/>
      <selection pane="topRight" activeCell="AD1" sqref="AD1"/>
      <selection pane="bottomLeft" activeCell="A43" sqref="A43"/>
      <selection pane="bottomRight" activeCell="AD280" sqref="AD280:AL280"/>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7109375" style="1975" hidden="1" customWidth="1"/>
    <col min="17" max="18" width="3" style="279" customWidth="1"/>
    <col min="19" max="19" width="12" style="197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8.42578125" style="1559" hidden="1" customWidth="1"/>
  </cols>
  <sheetData>
    <row r="1" spans="1:45" ht="22.5" hidden="1" customHeight="1">
      <c r="Y1" s="262"/>
      <c r="Z1" s="262"/>
      <c r="AG1" s="262"/>
      <c r="AH1" s="262"/>
      <c r="AS1" s="1079" t="s">
        <v>1</v>
      </c>
    </row>
    <row r="2" spans="1:45" ht="21" hidden="1" customHeight="1">
      <c r="A2" s="1287"/>
      <c r="B2" s="1287"/>
      <c r="C2" s="1287"/>
      <c r="D2" s="1287"/>
      <c r="E2" s="4033">
        <v>1</v>
      </c>
      <c r="F2" s="1287"/>
      <c r="G2" s="1287"/>
      <c r="H2" s="1287"/>
      <c r="I2" s="1287"/>
      <c r="J2" s="1287"/>
      <c r="K2" s="1287"/>
      <c r="L2" s="1288"/>
      <c r="M2" s="1289"/>
      <c r="N2" s="1289"/>
      <c r="O2" s="1289"/>
      <c r="P2" s="295"/>
      <c r="Q2" s="294"/>
      <c r="R2" s="289"/>
      <c r="S2" s="1260" t="e">
        <f>INDEX(PT_DIFFERENTIATION_NUM_NTAR,MATCH(A2,PT_DIFFERENTIATION_NTAR_ID,0))</f>
        <v>#N/A</v>
      </c>
      <c r="T2" s="233" t="s">
        <v>195</v>
      </c>
      <c r="U2" s="235"/>
      <c r="V2" s="4027"/>
      <c r="W2" s="4028"/>
      <c r="X2" s="4028"/>
      <c r="Y2" s="4028"/>
      <c r="Z2" s="4028"/>
      <c r="AA2" s="4028"/>
      <c r="AB2" s="4028"/>
      <c r="AC2" s="4029"/>
      <c r="AD2" s="4027" t="e">
        <f>INDEX(PT_DIFFERENTIATION_NTAR,MATCH(A2,PT_DIFFERENTIATION_NTAR_ID,0))</f>
        <v>#N/A</v>
      </c>
      <c r="AE2" s="4028"/>
      <c r="AF2" s="4028"/>
      <c r="AG2" s="4028"/>
      <c r="AH2" s="4028"/>
      <c r="AI2" s="4028"/>
      <c r="AJ2" s="4028"/>
      <c r="AK2" s="4028"/>
      <c r="AL2" s="4029"/>
      <c r="AM2" s="1182" t="s">
        <v>604</v>
      </c>
      <c r="AO2" s="434"/>
      <c r="AP2" s="434" t="str">
        <f t="shared" ref="AP2:AP15" si="0">IF(T2="","",T2)</f>
        <v>Наименование тарифа</v>
      </c>
      <c r="AQ2" s="434"/>
      <c r="AR2" s="434"/>
      <c r="AS2" s="1079">
        <v>0</v>
      </c>
    </row>
    <row r="3" spans="1:45" ht="21" hidden="1" customHeight="1">
      <c r="A3" s="1287"/>
      <c r="B3" s="1287"/>
      <c r="C3" s="1287"/>
      <c r="D3" s="1287"/>
      <c r="E3" s="4034"/>
      <c r="F3" s="4033">
        <v>1</v>
      </c>
      <c r="G3" s="1287"/>
      <c r="H3" s="1287"/>
      <c r="I3" s="1287"/>
      <c r="J3" s="1287"/>
      <c r="K3" s="1287"/>
      <c r="L3" s="1288"/>
      <c r="M3" s="1289"/>
      <c r="N3" s="1289"/>
      <c r="O3" s="1289"/>
      <c r="P3" s="1256"/>
      <c r="Q3" s="286"/>
      <c r="R3" s="287"/>
      <c r="S3" s="1260" t="e">
        <f>INDEX(PT_DIFFERENTIATION_NUM_TER,MATCH(B3,PT_DIFFERENTIATION_TER_ID,0))</f>
        <v>#N/A</v>
      </c>
      <c r="T3" s="243" t="s">
        <v>605</v>
      </c>
      <c r="U3" s="235"/>
      <c r="V3" s="4027"/>
      <c r="W3" s="4028"/>
      <c r="X3" s="4028"/>
      <c r="Y3" s="4028"/>
      <c r="Z3" s="4028"/>
      <c r="AA3" s="4028"/>
      <c r="AB3" s="4028"/>
      <c r="AC3" s="4029"/>
      <c r="AD3" s="4027" t="e">
        <f>INDEX(PT_DIFFERENTIATION_TER,MATCH(B3,PT_DIFFERENTIATION_TER_ID,0))</f>
        <v>#N/A</v>
      </c>
      <c r="AE3" s="4028"/>
      <c r="AF3" s="4028"/>
      <c r="AG3" s="4028"/>
      <c r="AH3" s="4028"/>
      <c r="AI3" s="4028"/>
      <c r="AJ3" s="4028"/>
      <c r="AK3" s="4028"/>
      <c r="AL3" s="4029"/>
      <c r="AM3" s="1182" t="s">
        <v>606</v>
      </c>
      <c r="AO3" s="434"/>
      <c r="AP3" s="434" t="str">
        <f t="shared" si="0"/>
        <v>Территория действия тарифа</v>
      </c>
      <c r="AQ3" s="434"/>
      <c r="AR3" s="434"/>
      <c r="AS3" s="1079">
        <v>0</v>
      </c>
    </row>
    <row r="4" spans="1:45" ht="23.25" hidden="1" customHeight="1">
      <c r="A4" s="1287"/>
      <c r="B4" s="1287"/>
      <c r="C4" s="1287"/>
      <c r="D4" s="1287"/>
      <c r="E4" s="4034"/>
      <c r="F4" s="4034"/>
      <c r="G4" s="4033">
        <v>1</v>
      </c>
      <c r="H4" s="1287"/>
      <c r="I4" s="1287"/>
      <c r="J4" s="1287"/>
      <c r="K4" s="1287"/>
      <c r="L4" s="1288"/>
      <c r="M4" s="1289"/>
      <c r="N4" s="1289"/>
      <c r="O4" s="1289"/>
      <c r="P4" s="288"/>
      <c r="Q4" s="286"/>
      <c r="R4" s="287"/>
      <c r="S4" s="1260" t="e">
        <f>INDEX(PT_DIFFERENTIATION_NUM_CS,MATCH(C4,PT_DIFFERENTIATION_CS_ID,0))</f>
        <v>#N/A</v>
      </c>
      <c r="T4" s="244" t="s">
        <v>607</v>
      </c>
      <c r="U4" s="235"/>
      <c r="V4" s="4027"/>
      <c r="W4" s="4028"/>
      <c r="X4" s="4028"/>
      <c r="Y4" s="4028"/>
      <c r="Z4" s="4028"/>
      <c r="AA4" s="4028"/>
      <c r="AB4" s="4028"/>
      <c r="AC4" s="4029"/>
      <c r="AD4" s="4027" t="e">
        <f>INDEX(PT_DIFFERENTIATION_CS,MATCH(C4,PT_DIFFERENTIATION_CS_ID,0))</f>
        <v>#N/A</v>
      </c>
      <c r="AE4" s="4028"/>
      <c r="AF4" s="4028"/>
      <c r="AG4" s="4028"/>
      <c r="AH4" s="4028"/>
      <c r="AI4" s="4028"/>
      <c r="AJ4" s="4028"/>
      <c r="AK4" s="4028"/>
      <c r="AL4" s="4029"/>
      <c r="AM4" s="1182" t="s">
        <v>608</v>
      </c>
      <c r="AO4" s="434"/>
      <c r="AP4" s="434" t="str">
        <f t="shared" si="0"/>
        <v xml:space="preserve">Наименование системы теплоснабжения </v>
      </c>
      <c r="AQ4" s="434"/>
      <c r="AR4" s="434"/>
      <c r="AS4" s="1079">
        <v>0</v>
      </c>
    </row>
    <row r="5" spans="1:45" ht="21" hidden="1" customHeight="1">
      <c r="A5" s="1287"/>
      <c r="B5" s="1287"/>
      <c r="C5" s="1287"/>
      <c r="D5" s="1287"/>
      <c r="E5" s="4034"/>
      <c r="F5" s="4034"/>
      <c r="G5" s="4034"/>
      <c r="H5" s="4033">
        <v>1</v>
      </c>
      <c r="I5" s="1287"/>
      <c r="J5" s="1287"/>
      <c r="K5" s="1287"/>
      <c r="L5" s="1288"/>
      <c r="M5" s="1289"/>
      <c r="N5" s="1289"/>
      <c r="O5" s="1289"/>
      <c r="P5" s="288"/>
      <c r="Q5" s="286"/>
      <c r="R5" s="287"/>
      <c r="S5" s="1260" t="e">
        <f>INDEX(PT_DIFFERENTIATION_NUM_IST_TE,MATCH(D5,PT_DIFFERENTIATION_IST_TE_ID,0))</f>
        <v>#N/A</v>
      </c>
      <c r="T5" s="245" t="s">
        <v>609</v>
      </c>
      <c r="U5" s="235"/>
      <c r="V5" s="4027"/>
      <c r="W5" s="4028"/>
      <c r="X5" s="4028"/>
      <c r="Y5" s="4028"/>
      <c r="Z5" s="4028"/>
      <c r="AA5" s="4028"/>
      <c r="AB5" s="4028"/>
      <c r="AC5" s="4029"/>
      <c r="AD5" s="4027" t="e">
        <f>INDEX(PT_DIFFERENTIATION_IST_TE,MATCH(D5,PT_DIFFERENTIATION_IST_TE_ID,0))</f>
        <v>#N/A</v>
      </c>
      <c r="AE5" s="4028"/>
      <c r="AF5" s="4028"/>
      <c r="AG5" s="4028"/>
      <c r="AH5" s="4028"/>
      <c r="AI5" s="4028"/>
      <c r="AJ5" s="4028"/>
      <c r="AK5" s="4028"/>
      <c r="AL5" s="4029"/>
      <c r="AM5" s="1182" t="s">
        <v>610</v>
      </c>
      <c r="AO5" s="434"/>
      <c r="AP5" s="434" t="str">
        <f t="shared" si="0"/>
        <v xml:space="preserve">Источник тепловой энергии  </v>
      </c>
      <c r="AQ5" s="434"/>
      <c r="AR5" s="434"/>
      <c r="AS5" s="1079">
        <v>0</v>
      </c>
    </row>
    <row r="6" spans="1:45" ht="14.25" hidden="1" customHeight="1">
      <c r="A6" s="1287"/>
      <c r="B6" s="1287"/>
      <c r="C6" s="1287"/>
      <c r="D6" s="1287"/>
      <c r="E6" s="4034"/>
      <c r="F6" s="4034"/>
      <c r="G6" s="4034"/>
      <c r="H6" s="4034"/>
      <c r="I6" s="4035" t="e">
        <f>S5&amp;".1"</f>
        <v>#N/A</v>
      </c>
      <c r="J6" s="1287"/>
      <c r="K6" s="1287"/>
      <c r="L6" s="1288" t="s">
        <v>611</v>
      </c>
      <c r="M6" s="471"/>
      <c r="P6" s="4037">
        <v>1</v>
      </c>
      <c r="Q6" s="1255"/>
      <c r="R6" s="290"/>
      <c r="S6" s="969"/>
      <c r="T6" s="1307"/>
      <c r="U6" s="1308"/>
      <c r="V6" s="4064"/>
      <c r="W6" s="4065"/>
      <c r="X6" s="4065"/>
      <c r="Y6" s="4065"/>
      <c r="Z6" s="4065"/>
      <c r="AA6" s="4065"/>
      <c r="AB6" s="4065"/>
      <c r="AC6" s="4066"/>
      <c r="AD6" s="4064"/>
      <c r="AE6" s="4065"/>
      <c r="AF6" s="4065"/>
      <c r="AG6" s="4065"/>
      <c r="AH6" s="4065"/>
      <c r="AI6" s="4065"/>
      <c r="AJ6" s="4065"/>
      <c r="AK6" s="4065"/>
      <c r="AL6" s="4066"/>
      <c r="AM6" s="1309"/>
      <c r="AO6" s="434"/>
      <c r="AP6" s="434" t="str">
        <f t="shared" si="0"/>
        <v/>
      </c>
      <c r="AQ6" s="434"/>
      <c r="AR6" s="434"/>
      <c r="AS6" s="1079">
        <v>0</v>
      </c>
    </row>
    <row r="7" spans="1:45" ht="21" hidden="1" customHeight="1">
      <c r="A7" s="1287"/>
      <c r="B7" s="1287"/>
      <c r="C7" s="1287"/>
      <c r="D7" s="1287"/>
      <c r="E7" s="4034"/>
      <c r="F7" s="4034"/>
      <c r="G7" s="4034"/>
      <c r="H7" s="4034"/>
      <c r="I7" s="4036"/>
      <c r="J7" s="4035" t="e">
        <f>I6&amp;".1"</f>
        <v>#N/A</v>
      </c>
      <c r="K7" s="1287"/>
      <c r="L7" s="1288" t="s">
        <v>614</v>
      </c>
      <c r="M7" s="471"/>
      <c r="N7" s="1290"/>
      <c r="P7" s="4037"/>
      <c r="Q7" s="4037">
        <v>1</v>
      </c>
      <c r="R7" s="291"/>
      <c r="S7" s="1260" t="e">
        <f>$J7</f>
        <v>#N/A</v>
      </c>
      <c r="T7" s="221" t="s">
        <v>615</v>
      </c>
      <c r="U7" s="235"/>
      <c r="V7" s="4021"/>
      <c r="W7" s="4022"/>
      <c r="X7" s="4022"/>
      <c r="Y7" s="4022"/>
      <c r="Z7" s="4022"/>
      <c r="AA7" s="4022"/>
      <c r="AB7" s="4022"/>
      <c r="AC7" s="4023"/>
      <c r="AD7" s="4021"/>
      <c r="AE7" s="4022"/>
      <c r="AF7" s="4022"/>
      <c r="AG7" s="4022"/>
      <c r="AH7" s="4022"/>
      <c r="AI7" s="4022"/>
      <c r="AJ7" s="4022"/>
      <c r="AK7" s="4022"/>
      <c r="AL7" s="4023"/>
      <c r="AM7" s="1182" t="s">
        <v>616</v>
      </c>
      <c r="AO7" s="434"/>
      <c r="AP7" s="434" t="str">
        <f t="shared" si="0"/>
        <v>Группа потребителей</v>
      </c>
      <c r="AQ7" s="434"/>
      <c r="AR7" s="434"/>
      <c r="AS7" s="1079">
        <v>0</v>
      </c>
    </row>
    <row r="8" spans="1:45" ht="21" hidden="1" customHeight="1">
      <c r="A8" s="1287"/>
      <c r="B8" s="1287"/>
      <c r="C8" s="1287"/>
      <c r="D8" s="1287"/>
      <c r="E8" s="4034"/>
      <c r="F8" s="4034"/>
      <c r="G8" s="4034"/>
      <c r="H8" s="4034"/>
      <c r="I8" s="4036"/>
      <c r="J8" s="4036"/>
      <c r="K8" s="4035" t="e">
        <f>J7&amp;".1"</f>
        <v>#N/A</v>
      </c>
      <c r="L8" s="1288" t="s">
        <v>617</v>
      </c>
      <c r="M8" s="471"/>
      <c r="N8" s="1290"/>
      <c r="O8" s="1290"/>
      <c r="P8" s="4037"/>
      <c r="Q8" s="4037"/>
      <c r="R8" s="291">
        <v>1</v>
      </c>
      <c r="S8" s="1260" t="e">
        <f>$K8</f>
        <v>#N/A</v>
      </c>
      <c r="T8" s="1271"/>
      <c r="U8" s="235"/>
      <c r="V8" s="685"/>
      <c r="W8" s="260"/>
      <c r="X8" s="685"/>
      <c r="Y8" s="1181"/>
      <c r="Z8" s="4038"/>
      <c r="AA8" s="3899" t="s">
        <v>53</v>
      </c>
      <c r="AB8" s="4038"/>
      <c r="AC8" s="3899" t="s">
        <v>53</v>
      </c>
      <c r="AD8" s="685"/>
      <c r="AE8" s="260"/>
      <c r="AF8" s="685"/>
      <c r="AG8" s="1181"/>
      <c r="AH8" s="4038"/>
      <c r="AI8" s="3899" t="s">
        <v>53</v>
      </c>
      <c r="AJ8" s="4038"/>
      <c r="AK8" s="3899" t="s">
        <v>53</v>
      </c>
      <c r="AL8" s="260"/>
      <c r="AM8" s="4056" t="s">
        <v>618</v>
      </c>
      <c r="AN8" s="445" t="e">
        <f ca="1">STRCHECKDATE(V9:AL9)</f>
        <v>#NAME?</v>
      </c>
      <c r="AO8" s="434"/>
      <c r="AP8" s="434" t="str">
        <f t="shared" si="0"/>
        <v/>
      </c>
      <c r="AQ8" s="434"/>
      <c r="AR8" s="434"/>
      <c r="AS8" s="1079">
        <v>0</v>
      </c>
    </row>
    <row r="9" spans="1:45" ht="0.75" hidden="1" customHeight="1">
      <c r="A9" s="1287"/>
      <c r="B9" s="1287"/>
      <c r="C9" s="1287"/>
      <c r="D9" s="1287"/>
      <c r="E9" s="4034"/>
      <c r="F9" s="4034"/>
      <c r="G9" s="4034"/>
      <c r="H9" s="4034"/>
      <c r="I9" s="4036"/>
      <c r="J9" s="4036"/>
      <c r="K9" s="4035"/>
      <c r="L9" s="1288"/>
      <c r="M9" s="471"/>
      <c r="N9" s="1290"/>
      <c r="O9" s="1290"/>
      <c r="P9" s="4037"/>
      <c r="Q9" s="4037"/>
      <c r="R9" s="291"/>
      <c r="S9" s="1266"/>
      <c r="T9" s="235"/>
      <c r="U9" s="235"/>
      <c r="V9" s="260"/>
      <c r="W9" s="260"/>
      <c r="X9" s="260"/>
      <c r="Y9" s="263" t="str">
        <f>Z8&amp;"-"&amp;AB8</f>
        <v>-</v>
      </c>
      <c r="Z9" s="4039"/>
      <c r="AA9" s="3899"/>
      <c r="AB9" s="4039"/>
      <c r="AC9" s="3899"/>
      <c r="AD9" s="260"/>
      <c r="AE9" s="260"/>
      <c r="AF9" s="260"/>
      <c r="AG9" s="263" t="str">
        <f>AH8&amp;"-"&amp;AJ8</f>
        <v>-</v>
      </c>
      <c r="AH9" s="4039"/>
      <c r="AI9" s="3899"/>
      <c r="AJ9" s="4039"/>
      <c r="AK9" s="3899"/>
      <c r="AL9" s="260"/>
      <c r="AM9" s="4057"/>
      <c r="AO9" s="434"/>
      <c r="AP9" s="434" t="str">
        <f t="shared" si="0"/>
        <v/>
      </c>
      <c r="AQ9" s="434"/>
      <c r="AR9" s="434"/>
      <c r="AS9" s="1079">
        <v>0</v>
      </c>
    </row>
    <row r="10" spans="1:45" ht="15" hidden="1" customHeight="1">
      <c r="A10" s="1287"/>
      <c r="B10" s="1287"/>
      <c r="C10" s="1287"/>
      <c r="D10" s="1287"/>
      <c r="E10" s="4034"/>
      <c r="F10" s="4034"/>
      <c r="G10" s="4034"/>
      <c r="H10" s="4034"/>
      <c r="I10" s="4036"/>
      <c r="J10" s="4035"/>
      <c r="K10" s="1287"/>
      <c r="L10" s="1288"/>
      <c r="M10" s="471"/>
      <c r="N10" s="1290"/>
      <c r="P10" s="4037"/>
      <c r="Q10" s="4037"/>
      <c r="R10" s="290"/>
      <c r="S10" s="1202"/>
      <c r="T10" s="222" t="s">
        <v>619</v>
      </c>
      <c r="U10" s="301"/>
      <c r="V10" s="301"/>
      <c r="W10" s="301"/>
      <c r="X10" s="301"/>
      <c r="Y10" s="301"/>
      <c r="Z10" s="301"/>
      <c r="AA10" s="301"/>
      <c r="AB10" s="301"/>
      <c r="AC10" s="301"/>
      <c r="AD10" s="301"/>
      <c r="AE10" s="301"/>
      <c r="AF10" s="301"/>
      <c r="AG10" s="301"/>
      <c r="AH10" s="301"/>
      <c r="AI10" s="301"/>
      <c r="AJ10" s="301"/>
      <c r="AK10" s="301"/>
      <c r="AL10" s="259"/>
      <c r="AM10" s="4058"/>
      <c r="AO10" s="434"/>
      <c r="AP10" s="434" t="str">
        <f t="shared" si="0"/>
        <v>Добавить вид теплоносителя (параметры теплоносителя)</v>
      </c>
      <c r="AQ10" s="434"/>
      <c r="AR10" s="434"/>
      <c r="AS10" s="1079">
        <v>0</v>
      </c>
    </row>
    <row r="11" spans="1:45" ht="15" hidden="1" customHeight="1">
      <c r="A11" s="1287"/>
      <c r="B11" s="1287"/>
      <c r="C11" s="1287"/>
      <c r="D11" s="1287"/>
      <c r="E11" s="4034"/>
      <c r="F11" s="4034"/>
      <c r="G11" s="4034"/>
      <c r="H11" s="4034"/>
      <c r="I11" s="4035"/>
      <c r="J11" s="1287"/>
      <c r="K11" s="1287"/>
      <c r="L11" s="1288"/>
      <c r="M11" s="471"/>
      <c r="P11" s="4037"/>
      <c r="Q11" s="1255"/>
      <c r="R11" s="290"/>
      <c r="S11" s="1202"/>
      <c r="T11" s="299" t="s">
        <v>620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9">
        <v>0</v>
      </c>
    </row>
    <row r="12" spans="1:45" ht="14.25" hidden="1" customHeight="1">
      <c r="A12" s="1287"/>
      <c r="B12" s="1287"/>
      <c r="C12" s="1287"/>
      <c r="D12" s="1287"/>
      <c r="E12" s="4034"/>
      <c r="F12" s="4034"/>
      <c r="G12" s="4034"/>
      <c r="H12" s="4033"/>
      <c r="I12" s="1287"/>
      <c r="J12" s="1287"/>
      <c r="K12" s="1287"/>
      <c r="L12" s="1288"/>
      <c r="M12" s="1289"/>
      <c r="N12" s="1289"/>
      <c r="O12" s="471"/>
      <c r="P12" s="294"/>
      <c r="Q12" s="309"/>
      <c r="R12" s="289"/>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4"/>
      <c r="AP12" s="434" t="str">
        <f t="shared" si="0"/>
        <v/>
      </c>
      <c r="AQ12" s="434"/>
      <c r="AR12" s="434"/>
      <c r="AS12" s="1079">
        <v>0</v>
      </c>
    </row>
    <row r="13" spans="1:45" s="1566" customFormat="1" ht="0.75" hidden="1" customHeight="1">
      <c r="A13" s="1238"/>
      <c r="B13" s="1238"/>
      <c r="C13" s="1238"/>
      <c r="D13" s="1238"/>
      <c r="E13" s="4034"/>
      <c r="F13" s="4034"/>
      <c r="G13" s="4033"/>
      <c r="H13" s="1238"/>
      <c r="I13" s="1238"/>
      <c r="J13" s="1238"/>
      <c r="K13" s="1238"/>
      <c r="L13" s="1263"/>
      <c r="M13" s="1239"/>
      <c r="N13" s="1239"/>
      <c r="P13" s="1240"/>
      <c r="Q13" s="1241"/>
      <c r="R13" s="1240"/>
      <c r="S13" s="1242"/>
      <c r="T13" s="1243" t="s">
        <v>235</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2">
        <v>0</v>
      </c>
    </row>
    <row r="14" spans="1:45" s="1566" customFormat="1" ht="0.75" hidden="1" customHeight="1">
      <c r="A14" s="1238"/>
      <c r="B14" s="1238"/>
      <c r="C14" s="1238"/>
      <c r="D14" s="1238"/>
      <c r="E14" s="4034"/>
      <c r="F14" s="4033"/>
      <c r="G14" s="1238"/>
      <c r="H14" s="1238"/>
      <c r="I14" s="1238"/>
      <c r="J14" s="1238"/>
      <c r="K14" s="1238"/>
      <c r="L14" s="1263"/>
      <c r="M14" s="1245"/>
      <c r="N14" s="1245"/>
      <c r="P14" s="1240"/>
      <c r="Q14" s="1241"/>
      <c r="R14" s="1240"/>
      <c r="S14" s="1246"/>
      <c r="T14" s="1247" t="s">
        <v>236</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2">
        <v>0</v>
      </c>
    </row>
    <row r="15" spans="1:45" s="1566" customFormat="1" ht="0.75" hidden="1" customHeight="1">
      <c r="A15" s="1238"/>
      <c r="B15" s="1238"/>
      <c r="C15" s="1238"/>
      <c r="D15" s="1238"/>
      <c r="E15" s="4033"/>
      <c r="F15" s="1238"/>
      <c r="G15" s="1238"/>
      <c r="H15" s="1238"/>
      <c r="I15" s="1238"/>
      <c r="J15" s="1238"/>
      <c r="K15" s="1238"/>
      <c r="L15" s="1263"/>
      <c r="M15" s="1245"/>
      <c r="N15" s="1245"/>
      <c r="P15" s="1240"/>
      <c r="Q15" s="1241"/>
      <c r="R15" s="1240"/>
      <c r="S15" s="1246"/>
      <c r="T15" s="1249" t="s">
        <v>286</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2">
        <v>0</v>
      </c>
    </row>
    <row r="16" spans="1:45" ht="14.25" hidden="1" customHeight="1">
      <c r="AC16" s="262"/>
      <c r="AK16" s="262"/>
      <c r="AS16" s="1079">
        <v>0</v>
      </c>
    </row>
    <row r="17" spans="1:45" ht="14.25" hidden="1" customHeight="1">
      <c r="AD17" s="1284"/>
      <c r="AE17" s="1284"/>
      <c r="AF17" s="1284"/>
      <c r="AG17" s="1285"/>
      <c r="AH17" s="4031"/>
      <c r="AI17" s="4030" t="s">
        <v>53</v>
      </c>
      <c r="AJ17" s="4031"/>
      <c r="AK17" s="4030" t="s">
        <v>53</v>
      </c>
      <c r="AS17" s="1079">
        <v>0</v>
      </c>
    </row>
    <row r="18" spans="1:45" ht="14.25" hidden="1" customHeight="1">
      <c r="AD18" s="1284"/>
      <c r="AE18" s="1284"/>
      <c r="AF18" s="1284"/>
      <c r="AG18" s="263" t="str">
        <f>AH17&amp;"-"&amp;AJ17</f>
        <v>-</v>
      </c>
      <c r="AH18" s="4030"/>
      <c r="AI18" s="4030"/>
      <c r="AJ18" s="4030"/>
      <c r="AK18" s="4030"/>
      <c r="AS18" s="1079">
        <v>0</v>
      </c>
    </row>
    <row r="19" spans="1:45" ht="14.25" hidden="1" customHeight="1">
      <c r="AK19" s="262"/>
      <c r="AS19" s="1079">
        <v>0</v>
      </c>
    </row>
    <row r="20" spans="1:45" s="1290" customFormat="1" ht="22.5" hidden="1" customHeight="1">
      <c r="L20" s="1253"/>
      <c r="M20" s="1286"/>
      <c r="N20" s="1286"/>
      <c r="O20" s="1291" t="s">
        <v>622</v>
      </c>
      <c r="P20" s="1286"/>
      <c r="Q20" s="1295"/>
      <c r="R20" s="1295"/>
      <c r="S20" s="663"/>
      <c r="Z20" s="1291"/>
      <c r="AB20" s="1291"/>
      <c r="AH20" s="1291"/>
      <c r="AJ20" s="1291"/>
      <c r="AN20" s="445"/>
      <c r="AO20" s="445"/>
      <c r="AP20" s="445"/>
      <c r="AQ20" s="445"/>
      <c r="AR20" s="445"/>
      <c r="AS20" s="1084">
        <v>0</v>
      </c>
    </row>
    <row r="21" spans="1:45" s="1290" customFormat="1" ht="14.25" hidden="1" customHeight="1">
      <c r="L21" s="1253"/>
      <c r="M21" s="1286"/>
      <c r="N21" s="1286"/>
      <c r="O21" s="1286"/>
      <c r="P21" s="1286"/>
      <c r="Q21" s="1295"/>
      <c r="R21" s="1295"/>
      <c r="S21" s="663"/>
      <c r="AN21" s="445"/>
      <c r="AO21" s="445"/>
      <c r="AP21" s="445"/>
      <c r="AQ21" s="445"/>
      <c r="AR21" s="445"/>
      <c r="AS21" s="1084">
        <v>0</v>
      </c>
    </row>
    <row r="22" spans="1:45" s="1290" customFormat="1" ht="14.25" hidden="1" customHeight="1">
      <c r="L22" s="1253"/>
      <c r="M22" s="1286"/>
      <c r="N22" s="1286"/>
      <c r="O22" s="1288" t="s">
        <v>623</v>
      </c>
      <c r="P22" s="1286"/>
      <c r="Q22" s="1295"/>
      <c r="R22" s="1295"/>
      <c r="S22" s="663"/>
      <c r="T22" s="1084" t="s">
        <v>624</v>
      </c>
      <c r="AA22" s="121" t="s">
        <v>625</v>
      </c>
      <c r="AC22" s="121" t="s">
        <v>626</v>
      </c>
      <c r="AD22" s="1084" t="s">
        <v>624</v>
      </c>
      <c r="AI22" s="121" t="s">
        <v>627</v>
      </c>
      <c r="AK22" s="121" t="s">
        <v>626</v>
      </c>
      <c r="AN22" s="445"/>
      <c r="AO22" s="445"/>
      <c r="AP22" s="445"/>
      <c r="AQ22" s="445"/>
      <c r="AR22" s="445"/>
      <c r="AS22" s="1084">
        <v>0</v>
      </c>
    </row>
    <row r="23" spans="1:45" ht="14.25" hidden="1" customHeight="1">
      <c r="O23" s="1288"/>
      <c r="AS23" s="1079">
        <v>0</v>
      </c>
    </row>
    <row r="24" spans="1:45" ht="14.25" hidden="1" customHeight="1">
      <c r="O24" s="1288"/>
      <c r="AS24" s="1079">
        <v>0</v>
      </c>
    </row>
    <row r="25" spans="1:45" ht="14.65" customHeight="1">
      <c r="Q25" s="310"/>
      <c r="R25" s="310"/>
      <c r="S25" s="1199"/>
      <c r="T25" s="297"/>
      <c r="U25" s="297"/>
      <c r="V25" s="443"/>
      <c r="W25" s="443"/>
      <c r="X25" s="443"/>
      <c r="Y25" s="443"/>
      <c r="Z25" s="443"/>
      <c r="AA25" s="443"/>
      <c r="AB25" s="443"/>
      <c r="AC25" s="443"/>
      <c r="AD25" s="443"/>
      <c r="AE25" s="443"/>
      <c r="AF25" s="443"/>
      <c r="AG25" s="443"/>
      <c r="AH25" s="443"/>
      <c r="AI25" s="443"/>
      <c r="AJ25" s="443"/>
      <c r="AK25" s="443"/>
      <c r="AS25" s="1079">
        <v>14</v>
      </c>
    </row>
    <row r="26" spans="1:45" ht="63" customHeight="1">
      <c r="Q26" s="310"/>
      <c r="R26" s="310"/>
      <c r="S26" s="40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014"/>
      <c r="U26" s="4014"/>
      <c r="V26" s="4014"/>
      <c r="W26" s="4014"/>
      <c r="X26" s="4014"/>
      <c r="Y26" s="4014"/>
      <c r="Z26" s="4014"/>
      <c r="AA26" s="4014"/>
      <c r="AB26" s="4014"/>
      <c r="AC26" s="4014"/>
      <c r="AD26" s="4014"/>
      <c r="AE26" s="4014"/>
      <c r="AF26" s="4014"/>
      <c r="AG26" s="4014"/>
      <c r="AH26" s="4014"/>
      <c r="AI26" s="4014"/>
      <c r="AJ26" s="4014"/>
      <c r="AK26" s="1167"/>
      <c r="AS26" s="1079">
        <v>60</v>
      </c>
    </row>
    <row r="27" spans="1:45" ht="14.65" customHeight="1">
      <c r="Q27" s="310"/>
      <c r="R27" s="310"/>
      <c r="S27" s="3987" t="str">
        <f>IF(org=0,"Не определено",org)</f>
        <v>ООО "Смоленскрегионтеплоэнерго"</v>
      </c>
      <c r="T27" s="3987"/>
      <c r="U27" s="3987"/>
      <c r="V27" s="3987"/>
      <c r="W27" s="3987"/>
      <c r="X27" s="3987"/>
      <c r="Y27" s="3987"/>
      <c r="Z27" s="3987"/>
      <c r="AA27" s="3987"/>
      <c r="AB27" s="3987"/>
      <c r="AC27" s="3987"/>
      <c r="AD27" s="3987"/>
      <c r="AE27" s="3987"/>
      <c r="AF27" s="3987"/>
      <c r="AG27" s="3987"/>
      <c r="AH27" s="3987"/>
      <c r="AI27" s="3987"/>
      <c r="AJ27" s="3987"/>
      <c r="AK27" s="1167"/>
      <c r="AS27" s="1079">
        <v>14</v>
      </c>
    </row>
    <row r="28" spans="1:45" ht="14.25" hidden="1" customHeight="1">
      <c r="Q28" s="310"/>
      <c r="R28" s="310"/>
      <c r="S28" s="1199"/>
      <c r="T28" s="297"/>
      <c r="U28" s="297"/>
      <c r="V28" s="257"/>
      <c r="W28" s="257"/>
      <c r="X28" s="257"/>
      <c r="Y28" s="257"/>
      <c r="Z28" s="257"/>
      <c r="AA28" s="257"/>
      <c r="AB28" s="257"/>
      <c r="AC28" s="257"/>
      <c r="AD28" s="257"/>
      <c r="AE28" s="257"/>
      <c r="AF28" s="257"/>
      <c r="AG28" s="257"/>
      <c r="AH28" s="257"/>
      <c r="AI28" s="257"/>
      <c r="AJ28" s="257"/>
      <c r="AK28" s="257"/>
      <c r="AL28" s="443"/>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4024" t="s">
        <v>29</v>
      </c>
      <c r="T29" s="4024"/>
      <c r="U29" s="1296"/>
      <c r="V29" s="4026" t="str">
        <f>IF(TITLE_NAME_OR_PR_CHANGE="",IF(TITLE_NAME_OR_PR="","",TITLE_NAME_OR_PR),TITLE_NAME_OR_PR_CHANGE)</f>
        <v/>
      </c>
      <c r="W29" s="4026"/>
      <c r="X29" s="4026"/>
      <c r="Y29" s="4026"/>
      <c r="Z29" s="4026"/>
      <c r="AA29" s="4026"/>
      <c r="AB29" s="4026"/>
      <c r="AC29" s="261"/>
      <c r="AD29" s="4026" t="str">
        <f>IF(TITLE_NAME_OR_PR_CHANGE="",IF(TITLE_NAME_OR_PR="","",TITLE_NAME_OR_PR),TITLE_NAME_OR_PR_CHANGE)</f>
        <v/>
      </c>
      <c r="AE29" s="4026"/>
      <c r="AF29" s="4026"/>
      <c r="AG29" s="4026"/>
      <c r="AH29" s="4026"/>
      <c r="AI29" s="4026"/>
      <c r="AJ29" s="4026"/>
      <c r="AK29" s="261"/>
      <c r="AL29" s="261"/>
      <c r="AM29" s="215"/>
      <c r="AN29" s="302"/>
      <c r="AO29" s="302"/>
      <c r="AP29" s="302"/>
      <c r="AQ29" s="302"/>
      <c r="AR29" s="302"/>
      <c r="AS29" s="352">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4024" t="s">
        <v>628</v>
      </c>
      <c r="T30" s="4024"/>
      <c r="U30" s="1296"/>
      <c r="V30" s="4025">
        <f>IF(TITLE_DATE_PR_CHANGE="",IF(TITLE_DATE_PR="","",TITLE_DATE_PR),TITLE_DATE_PR_CHANGE)</f>
        <v>45765</v>
      </c>
      <c r="W30" s="4025"/>
      <c r="X30" s="4025"/>
      <c r="Y30" s="4025"/>
      <c r="Z30" s="4025"/>
      <c r="AA30" s="4025"/>
      <c r="AB30" s="4025"/>
      <c r="AC30" s="261"/>
      <c r="AD30" s="4025">
        <f>IF(TITLE_DATE_PR_CHANGE="",IF(TITLE_DATE_PR="","",TITLE_DATE_PR),TITLE_DATE_PR_CHANGE)</f>
        <v>45765</v>
      </c>
      <c r="AE30" s="4025"/>
      <c r="AF30" s="4025"/>
      <c r="AG30" s="4025"/>
      <c r="AH30" s="4025"/>
      <c r="AI30" s="4025"/>
      <c r="AJ30" s="4025"/>
      <c r="AK30" s="261"/>
      <c r="AL30" s="261"/>
      <c r="AM30" s="215"/>
      <c r="AN30" s="302"/>
      <c r="AO30" s="302"/>
      <c r="AP30" s="302"/>
      <c r="AQ30" s="302"/>
      <c r="AR30" s="302"/>
      <c r="AS30" s="352">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4024" t="s">
        <v>629</v>
      </c>
      <c r="T31" s="4024"/>
      <c r="U31" s="1296"/>
      <c r="V31" s="4026" t="str">
        <f>IF(TITLE_NUMBER_PR_CHANGE="",IF(TITLE_NUMBER_PR="","",TITLE_NUMBER_PR),TITLE_NUMBER_PR_CHANGE)</f>
        <v>917</v>
      </c>
      <c r="W31" s="4026"/>
      <c r="X31" s="4026"/>
      <c r="Y31" s="4026"/>
      <c r="Z31" s="4026"/>
      <c r="AA31" s="4026"/>
      <c r="AB31" s="4026"/>
      <c r="AC31" s="261"/>
      <c r="AD31" s="4026" t="str">
        <f>IF(TITLE_NUMBER_PR_CHANGE="",IF(TITLE_NUMBER_PR="","",TITLE_NUMBER_PR),TITLE_NUMBER_PR_CHANGE)</f>
        <v>917</v>
      </c>
      <c r="AE31" s="4026"/>
      <c r="AF31" s="4026"/>
      <c r="AG31" s="4026"/>
      <c r="AH31" s="4026"/>
      <c r="AI31" s="4026"/>
      <c r="AJ31" s="4026"/>
      <c r="AK31" s="261"/>
      <c r="AL31" s="261"/>
      <c r="AM31" s="215"/>
      <c r="AN31" s="302"/>
      <c r="AO31" s="302"/>
      <c r="AP31" s="302"/>
      <c r="AQ31" s="302"/>
      <c r="AR31" s="302"/>
      <c r="AS31" s="352">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4024" t="s">
        <v>30</v>
      </c>
      <c r="T32" s="4024"/>
      <c r="U32" s="1296"/>
      <c r="V32" s="4026" t="str">
        <f>IF(TITLE_IST_PUB_CHANGE="",IF(TITLE_IST_PUB="","",TITLE_IST_PUB),TITLE_IST_PUB_CHANGE)</f>
        <v/>
      </c>
      <c r="W32" s="4026"/>
      <c r="X32" s="4026"/>
      <c r="Y32" s="4026"/>
      <c r="Z32" s="4026"/>
      <c r="AA32" s="4026"/>
      <c r="AB32" s="4026"/>
      <c r="AC32" s="261"/>
      <c r="AD32" s="4026" t="str">
        <f>IF(TITLE_IST_PUB_CHANGE="",IF(TITLE_IST_PUB="","",TITLE_IST_PUB),TITLE_IST_PUB_CHANGE)</f>
        <v/>
      </c>
      <c r="AE32" s="4026"/>
      <c r="AF32" s="4026"/>
      <c r="AG32" s="4026"/>
      <c r="AH32" s="4026"/>
      <c r="AI32" s="4026"/>
      <c r="AJ32" s="4026"/>
      <c r="AK32" s="261"/>
      <c r="AL32" s="261"/>
      <c r="AM32" s="215"/>
      <c r="AN32" s="302"/>
      <c r="AO32" s="302"/>
      <c r="AP32" s="302"/>
      <c r="AQ32" s="302"/>
      <c r="AR32" s="302"/>
      <c r="AS32" s="352">
        <v>0</v>
      </c>
    </row>
    <row r="33" spans="1:45" ht="14.25" customHeight="1">
      <c r="Q33" s="310"/>
      <c r="R33" s="310"/>
      <c r="S33" s="1199"/>
      <c r="T33" s="297"/>
      <c r="U33" s="297"/>
      <c r="V33" s="257"/>
      <c r="W33" s="257"/>
      <c r="X33" s="257"/>
      <c r="Y33" s="257"/>
      <c r="Z33" s="257"/>
      <c r="AA33" s="257"/>
      <c r="AB33" s="257"/>
      <c r="AC33" s="257"/>
      <c r="AD33" s="257"/>
      <c r="AE33" s="257"/>
      <c r="AF33" s="257"/>
      <c r="AG33" s="257"/>
      <c r="AH33" s="257"/>
      <c r="AI33" s="257"/>
      <c r="AJ33" s="257"/>
      <c r="AK33" s="257"/>
      <c r="AL33" s="443"/>
      <c r="AS33" s="1079">
        <v>0</v>
      </c>
    </row>
    <row r="34" spans="1:45" s="1748" customFormat="1" ht="18.75" customHeight="1">
      <c r="A34" s="1292"/>
      <c r="B34" s="1292"/>
      <c r="C34" s="1292"/>
      <c r="D34" s="1292"/>
      <c r="E34" s="1292"/>
      <c r="F34" s="1292"/>
      <c r="G34" s="1292"/>
      <c r="H34" s="1292"/>
      <c r="I34" s="1292"/>
      <c r="J34" s="1292"/>
      <c r="K34" s="1292"/>
      <c r="L34" s="1293"/>
      <c r="M34" s="1292"/>
      <c r="N34" s="1292"/>
      <c r="O34" s="1292"/>
      <c r="S34" s="4024" t="s">
        <v>630</v>
      </c>
      <c r="T34" s="4024"/>
      <c r="U34" s="1296"/>
      <c r="V34" s="4025">
        <f>IF(TITLE_DATE_PR_CHANGE="",IF(TITLE_DATE_PR="","",TITLE_DATE_PR),TITLE_DATE_PR_CHANGE)</f>
        <v>45765</v>
      </c>
      <c r="W34" s="4025"/>
      <c r="X34" s="4025"/>
      <c r="Y34" s="4025"/>
      <c r="Z34" s="4025"/>
      <c r="AA34" s="4025"/>
      <c r="AB34" s="4025"/>
      <c r="AC34" s="261"/>
      <c r="AD34" s="4025">
        <f>IF(TITLE_DATE_PR_CHANGE="",IF(TITLE_DATE_PR="","",TITLE_DATE_PR),TITLE_DATE_PR_CHANGE)</f>
        <v>45765</v>
      </c>
      <c r="AE34" s="4025"/>
      <c r="AF34" s="4025"/>
      <c r="AG34" s="4025"/>
      <c r="AH34" s="4025"/>
      <c r="AI34" s="4025"/>
      <c r="AJ34" s="4025"/>
      <c r="AK34" s="261"/>
      <c r="AL34" s="261"/>
      <c r="AM34" s="215"/>
      <c r="AN34" s="302"/>
      <c r="AO34" s="302"/>
      <c r="AP34" s="302"/>
      <c r="AQ34" s="302"/>
      <c r="AR34" s="302"/>
      <c r="AS34" s="352">
        <v>0</v>
      </c>
    </row>
    <row r="35" spans="1:45" s="1748" customFormat="1" ht="18.75" customHeight="1">
      <c r="A35" s="1292"/>
      <c r="B35" s="1292"/>
      <c r="C35" s="1292"/>
      <c r="D35" s="1292"/>
      <c r="E35" s="1292"/>
      <c r="F35" s="1292"/>
      <c r="G35" s="1292"/>
      <c r="H35" s="1292"/>
      <c r="I35" s="1292"/>
      <c r="J35" s="1292"/>
      <c r="K35" s="1292"/>
      <c r="L35" s="1293"/>
      <c r="M35" s="1292"/>
      <c r="N35" s="1292"/>
      <c r="O35" s="1292"/>
      <c r="S35" s="4024" t="s">
        <v>631</v>
      </c>
      <c r="T35" s="4024"/>
      <c r="U35" s="1296"/>
      <c r="V35" s="4026" t="str">
        <f>IF(TITLE_NUMBER_PR_CHANGE="",IF(TITLE_NUMBER_PR="","",TITLE_NUMBER_PR),TITLE_NUMBER_PR_CHANGE)</f>
        <v>917</v>
      </c>
      <c r="W35" s="4026"/>
      <c r="X35" s="4026"/>
      <c r="Y35" s="4026"/>
      <c r="Z35" s="4026"/>
      <c r="AA35" s="4026"/>
      <c r="AB35" s="4026"/>
      <c r="AC35" s="261"/>
      <c r="AD35" s="4026" t="str">
        <f>IF(TITLE_NUMBER_PR_CHANGE="",IF(TITLE_NUMBER_PR="","",TITLE_NUMBER_PR),TITLE_NUMBER_PR_CHANGE)</f>
        <v>917</v>
      </c>
      <c r="AE35" s="4026"/>
      <c r="AF35" s="4026"/>
      <c r="AG35" s="4026"/>
      <c r="AH35" s="4026"/>
      <c r="AI35" s="4026"/>
      <c r="AJ35" s="4026"/>
      <c r="AK35" s="261"/>
      <c r="AL35" s="261"/>
      <c r="AM35" s="215"/>
      <c r="AN35" s="302"/>
      <c r="AO35" s="302"/>
      <c r="AP35" s="302"/>
      <c r="AQ35" s="302"/>
      <c r="AR35" s="302"/>
      <c r="AS35" s="352">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632</v>
      </c>
      <c r="AD36" s="261"/>
      <c r="AE36" s="261"/>
      <c r="AF36" s="261"/>
      <c r="AG36" s="261"/>
      <c r="AH36" s="261"/>
      <c r="AI36" s="261"/>
      <c r="AJ36" s="261"/>
      <c r="AK36" s="213" t="s">
        <v>632</v>
      </c>
      <c r="AN36" s="302"/>
      <c r="AO36" s="302"/>
      <c r="AP36" s="302"/>
      <c r="AQ36" s="302"/>
      <c r="AR36" s="302"/>
      <c r="AS36" s="352">
        <v>0</v>
      </c>
    </row>
    <row r="37" spans="1:45" ht="14.65" customHeight="1">
      <c r="Q37" s="310"/>
      <c r="R37" s="310"/>
      <c r="S37" s="1199"/>
      <c r="T37" s="297"/>
      <c r="U37" s="1168"/>
      <c r="V37" s="4045"/>
      <c r="W37" s="4045"/>
      <c r="X37" s="4045"/>
      <c r="Y37" s="4045"/>
      <c r="Z37" s="4045"/>
      <c r="AA37" s="4045"/>
      <c r="AB37" s="4045"/>
      <c r="AC37" s="4045"/>
      <c r="AD37" s="4045"/>
      <c r="AE37" s="4045"/>
      <c r="AF37" s="4045"/>
      <c r="AG37" s="4045"/>
      <c r="AH37" s="4045"/>
      <c r="AI37" s="4045"/>
      <c r="AJ37" s="4045"/>
      <c r="AK37" s="4045"/>
      <c r="AS37" s="1079">
        <v>14</v>
      </c>
    </row>
    <row r="38" spans="1:45" ht="14.65" customHeight="1">
      <c r="Q38" s="310"/>
      <c r="R38" s="310"/>
      <c r="S38" s="3889" t="s">
        <v>508</v>
      </c>
      <c r="T38" s="3889"/>
      <c r="U38" s="3889"/>
      <c r="V38" s="3889"/>
      <c r="W38" s="3889"/>
      <c r="X38" s="3889"/>
      <c r="Y38" s="3889"/>
      <c r="Z38" s="3889"/>
      <c r="AA38" s="3889"/>
      <c r="AB38" s="3889"/>
      <c r="AC38" s="3889"/>
      <c r="AD38" s="3889"/>
      <c r="AE38" s="3889"/>
      <c r="AF38" s="3889"/>
      <c r="AG38" s="3889"/>
      <c r="AH38" s="3889"/>
      <c r="AI38" s="3889"/>
      <c r="AJ38" s="3889"/>
      <c r="AK38" s="3889"/>
      <c r="AL38" s="3889"/>
      <c r="AM38" s="3889" t="s">
        <v>509</v>
      </c>
      <c r="AS38" s="1079">
        <v>14</v>
      </c>
    </row>
    <row r="39" spans="1:45" ht="14.65" customHeight="1">
      <c r="Q39" s="310"/>
      <c r="R39" s="310"/>
      <c r="S39" s="4046" t="s">
        <v>75</v>
      </c>
      <c r="T39" s="3995" t="s">
        <v>633</v>
      </c>
      <c r="U39" s="236"/>
      <c r="V39" s="4047" t="s">
        <v>634</v>
      </c>
      <c r="W39" s="4048"/>
      <c r="X39" s="4048"/>
      <c r="Y39" s="4048"/>
      <c r="Z39" s="4048"/>
      <c r="AA39" s="4048"/>
      <c r="AB39" s="4049"/>
      <c r="AC39" s="4050" t="s">
        <v>635</v>
      </c>
      <c r="AD39" s="4047" t="s">
        <v>634</v>
      </c>
      <c r="AE39" s="4048"/>
      <c r="AF39" s="4048"/>
      <c r="AG39" s="4048"/>
      <c r="AH39" s="4048"/>
      <c r="AI39" s="4048"/>
      <c r="AJ39" s="4049"/>
      <c r="AK39" s="4050" t="s">
        <v>636</v>
      </c>
      <c r="AL39" s="4053" t="s">
        <v>637</v>
      </c>
      <c r="AM39" s="3889"/>
      <c r="AS39" s="1079">
        <v>14</v>
      </c>
    </row>
    <row r="40" spans="1:45" ht="35.65" customHeight="1">
      <c r="Q40" s="310"/>
      <c r="R40" s="310"/>
      <c r="S40" s="4046"/>
      <c r="T40" s="3995"/>
      <c r="U40" s="958"/>
      <c r="V40" s="3967" t="s">
        <v>638</v>
      </c>
      <c r="W40" s="4042"/>
      <c r="X40" s="3870" t="s">
        <v>640</v>
      </c>
      <c r="Y40" s="3869"/>
      <c r="Z40" s="3870" t="s">
        <v>641</v>
      </c>
      <c r="AA40" s="3875"/>
      <c r="AB40" s="3869"/>
      <c r="AC40" s="4051"/>
      <c r="AD40" s="3967" t="s">
        <v>655</v>
      </c>
      <c r="AE40" s="4042"/>
      <c r="AF40" s="3870" t="s">
        <v>640</v>
      </c>
      <c r="AG40" s="3869"/>
      <c r="AH40" s="3870" t="s">
        <v>641</v>
      </c>
      <c r="AI40" s="3875"/>
      <c r="AJ40" s="3869"/>
      <c r="AK40" s="4051"/>
      <c r="AL40" s="4054"/>
      <c r="AM40" s="3889"/>
      <c r="AS40" s="1079">
        <v>34</v>
      </c>
    </row>
    <row r="41" spans="1:45" ht="35.65" customHeight="1">
      <c r="A41" s="1294"/>
      <c r="B41" s="1294" t="s">
        <v>207</v>
      </c>
      <c r="C41" s="1294" t="s">
        <v>208</v>
      </c>
      <c r="D41" s="1294" t="s">
        <v>209</v>
      </c>
      <c r="E41" s="1288" t="s">
        <v>642</v>
      </c>
      <c r="F41" s="1288" t="s">
        <v>643</v>
      </c>
      <c r="G41" s="1288" t="s">
        <v>644</v>
      </c>
      <c r="H41" s="1288" t="s">
        <v>645</v>
      </c>
      <c r="I41" s="1288" t="s">
        <v>646</v>
      </c>
      <c r="J41" s="1288" t="s">
        <v>647</v>
      </c>
      <c r="K41" s="1288" t="s">
        <v>648</v>
      </c>
      <c r="L41" s="1288" t="s">
        <v>623</v>
      </c>
      <c r="Q41" s="310"/>
      <c r="R41" s="310"/>
      <c r="S41" s="4046"/>
      <c r="T41" s="3995"/>
      <c r="U41" s="237"/>
      <c r="V41" s="4019"/>
      <c r="W41" s="4043"/>
      <c r="X41" s="1146" t="s">
        <v>649</v>
      </c>
      <c r="Y41" s="1146" t="s">
        <v>650</v>
      </c>
      <c r="Z41" s="1262" t="s">
        <v>651</v>
      </c>
      <c r="AA41" s="4000" t="s">
        <v>652</v>
      </c>
      <c r="AB41" s="4013"/>
      <c r="AC41" s="4052"/>
      <c r="AD41" s="4019"/>
      <c r="AE41" s="4043"/>
      <c r="AF41" s="1146" t="s">
        <v>649</v>
      </c>
      <c r="AG41" s="1146" t="s">
        <v>650</v>
      </c>
      <c r="AH41" s="1262" t="s">
        <v>651</v>
      </c>
      <c r="AI41" s="4000" t="s">
        <v>652</v>
      </c>
      <c r="AJ41" s="4013"/>
      <c r="AK41" s="4052"/>
      <c r="AL41" s="4055"/>
      <c r="AM41" s="3889"/>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184</v>
      </c>
      <c r="T42" s="1179" t="s">
        <v>89</v>
      </c>
      <c r="U42" s="1169" t="str">
        <f ca="1">OFFSET(U42,0,-1)</f>
        <v>2</v>
      </c>
      <c r="V42" s="1259">
        <f ca="1">OFFSET(V42,0,-1)+1</f>
        <v>3</v>
      </c>
      <c r="W42" s="1259"/>
      <c r="X42" s="1259">
        <f ca="1">OFFSET(X42,0,-1)+1</f>
        <v>1</v>
      </c>
      <c r="Y42" s="1259">
        <f ca="1">OFFSET(Y42,0,-1)+1</f>
        <v>2</v>
      </c>
      <c r="Z42" s="1259">
        <f ca="1">OFFSET(Z42,0,-1)+1</f>
        <v>3</v>
      </c>
      <c r="AA42" s="4044">
        <f ca="1">OFFSET(AA42,0,-1)+1</f>
        <v>4</v>
      </c>
      <c r="AB42" s="4044"/>
      <c r="AC42" s="1259">
        <f ca="1">OFFSET(AC42,0,-2)+1</f>
        <v>5</v>
      </c>
      <c r="AD42" s="1259">
        <f ca="1">OFFSET(AD42,0,-1)+1</f>
        <v>6</v>
      </c>
      <c r="AE42" s="1259"/>
      <c r="AF42" s="1259">
        <f ca="1">OFFSET(AF42,0,-1)+1</f>
        <v>1</v>
      </c>
      <c r="AG42" s="1259">
        <f ca="1">OFFSET(AG42,0,-1)+1</f>
        <v>2</v>
      </c>
      <c r="AH42" s="1259">
        <f ca="1">OFFSET(AH42,0,-1)+1</f>
        <v>3</v>
      </c>
      <c r="AI42" s="4044">
        <f ca="1">OFFSET(AI42,0,-1)+1</f>
        <v>4</v>
      </c>
      <c r="AJ42" s="4044"/>
      <c r="AK42" s="1259">
        <f ca="1">OFFSET(AK42,0,-2)+1</f>
        <v>5</v>
      </c>
      <c r="AL42" s="1169">
        <f ca="1">OFFSET(AL42,0,-1)</f>
        <v>5</v>
      </c>
      <c r="AM42" s="1259">
        <f ca="1">OFFSET(AM42,0,-1)+1</f>
        <v>6</v>
      </c>
      <c r="AN42" s="445"/>
      <c r="AO42" s="445"/>
      <c r="AP42" s="445"/>
      <c r="AQ42" s="445"/>
      <c r="AR42" s="445"/>
      <c r="AS42" s="430">
        <v>0</v>
      </c>
    </row>
    <row r="43" spans="1:45" ht="21.95" customHeight="1">
      <c r="A43" s="1287" t="s">
        <v>293</v>
      </c>
      <c r="B43" s="1287"/>
      <c r="C43" s="1287"/>
      <c r="D43" s="1287"/>
      <c r="E43" s="4033">
        <v>1</v>
      </c>
      <c r="F43" s="1287"/>
      <c r="G43" s="1287"/>
      <c r="H43" s="1287"/>
      <c r="I43" s="1287"/>
      <c r="J43" s="1287"/>
      <c r="K43" s="1287"/>
      <c r="L43" s="1288"/>
      <c r="M43" s="1289"/>
      <c r="N43" s="1289"/>
      <c r="O43" s="1289"/>
      <c r="P43" s="295"/>
      <c r="Q43" s="294"/>
      <c r="R43" s="289"/>
      <c r="S43" s="1260">
        <f>INDEX(PT_DIFFERENTIATION_NUM_NTAR,MATCH(A43,PT_DIFFERENTIATION_NTAR_ID,0))</f>
        <v>1</v>
      </c>
      <c r="T43" s="233" t="s">
        <v>195</v>
      </c>
      <c r="U43" s="235"/>
      <c r="V43" s="4027"/>
      <c r="W43" s="4028"/>
      <c r="X43" s="4028"/>
      <c r="Y43" s="4028"/>
      <c r="Z43" s="4028"/>
      <c r="AA43" s="4028"/>
      <c r="AB43" s="4028"/>
      <c r="AC43" s="4029"/>
      <c r="AD43" s="4027" t="str">
        <f>INDEX(PT_DIFFERENTIATION_NTAR,MATCH(A43,PT_DIFFERENTIATION_NTAR_ID,0))</f>
        <v>Тариф на теплоноситель, посталяемый потребителям</v>
      </c>
      <c r="AE43" s="4028"/>
      <c r="AF43" s="4028"/>
      <c r="AG43" s="4028"/>
      <c r="AH43" s="4028"/>
      <c r="AI43" s="4028"/>
      <c r="AJ43" s="4028"/>
      <c r="AK43" s="4028"/>
      <c r="AL43" s="4029"/>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106" si="1">IF(T43="","",T43)</f>
        <v>Наименование тарифа</v>
      </c>
      <c r="AQ43" s="434"/>
      <c r="AR43" s="434"/>
      <c r="AS43" s="1079">
        <v>21</v>
      </c>
    </row>
    <row r="44" spans="1:45" ht="21.95" customHeight="1">
      <c r="A44" s="1287" t="s">
        <v>293</v>
      </c>
      <c r="B44" s="1287" t="s">
        <v>294</v>
      </c>
      <c r="C44" s="1287"/>
      <c r="D44" s="1287"/>
      <c r="E44" s="4034"/>
      <c r="F44" s="4033">
        <v>1</v>
      </c>
      <c r="G44" s="1287"/>
      <c r="H44" s="1287"/>
      <c r="I44" s="1287"/>
      <c r="J44" s="1287"/>
      <c r="K44" s="1287"/>
      <c r="L44" s="1288"/>
      <c r="M44" s="1289"/>
      <c r="N44" s="1289"/>
      <c r="O44" s="1289"/>
      <c r="P44" s="1256"/>
      <c r="Q44" s="286"/>
      <c r="R44" s="287"/>
      <c r="S44" s="1260" t="str">
        <f>INDEX(PT_DIFFERENTIATION_NUM_TER,MATCH(B44,PT_DIFFERENTIATION_TER_ID,0))</f>
        <v>1.1</v>
      </c>
      <c r="T44" s="243" t="s">
        <v>605</v>
      </c>
      <c r="U44" s="235"/>
      <c r="V44" s="4027"/>
      <c r="W44" s="4028"/>
      <c r="X44" s="4028"/>
      <c r="Y44" s="4028"/>
      <c r="Z44" s="4028"/>
      <c r="AA44" s="4028"/>
      <c r="AB44" s="4028"/>
      <c r="AC44" s="4029"/>
      <c r="AD44" s="4027" t="str">
        <f>INDEX(PT_DIFFERENTIATION_TER,MATCH(B44,PT_DIFFERENTIATION_TER_ID,0))</f>
        <v>Территория 1</v>
      </c>
      <c r="AE44" s="4028"/>
      <c r="AF44" s="4028"/>
      <c r="AG44" s="4028"/>
      <c r="AH44" s="4028"/>
      <c r="AI44" s="4028"/>
      <c r="AJ44" s="4028"/>
      <c r="AK44" s="4028"/>
      <c r="AL44" s="4029"/>
      <c r="AM44" s="1182" t="s">
        <v>606</v>
      </c>
      <c r="AO44" s="434"/>
      <c r="AP44" s="434" t="str">
        <f t="shared" si="1"/>
        <v>Территория действия тарифа</v>
      </c>
      <c r="AQ44" s="434"/>
      <c r="AR44" s="434"/>
      <c r="AS44" s="1079">
        <v>21</v>
      </c>
    </row>
    <row r="45" spans="1:45" ht="24" customHeight="1">
      <c r="A45" s="1287" t="s">
        <v>293</v>
      </c>
      <c r="B45" s="1287" t="s">
        <v>294</v>
      </c>
      <c r="C45" s="1287" t="s">
        <v>295</v>
      </c>
      <c r="D45" s="1287"/>
      <c r="E45" s="4034"/>
      <c r="F45" s="4034"/>
      <c r="G45" s="4033">
        <v>1</v>
      </c>
      <c r="H45" s="1287"/>
      <c r="I45" s="1287"/>
      <c r="J45" s="1287"/>
      <c r="K45" s="1287"/>
      <c r="L45" s="1288"/>
      <c r="M45" s="1289"/>
      <c r="N45" s="1289"/>
      <c r="O45" s="1289"/>
      <c r="P45" s="288"/>
      <c r="Q45" s="286"/>
      <c r="R45" s="287"/>
      <c r="S45" s="1260" t="str">
        <f>INDEX(PT_DIFFERENTIATION_NUM_CS,MATCH(C45,PT_DIFFERENTIATION_CS_ID,0))</f>
        <v>1.1.1</v>
      </c>
      <c r="T45" s="244" t="s">
        <v>607</v>
      </c>
      <c r="U45" s="235"/>
      <c r="V45" s="4027"/>
      <c r="W45" s="4028"/>
      <c r="X45" s="4028"/>
      <c r="Y45" s="4028"/>
      <c r="Z45" s="4028"/>
      <c r="AA45" s="4028"/>
      <c r="AB45" s="4028"/>
      <c r="AC45" s="4029"/>
      <c r="AD45" s="4027" t="str">
        <f>INDEX(PT_DIFFERENTIATION_CS,MATCH(C45,PT_DIFFERENTIATION_CS_ID,0))</f>
        <v>котельная г. Вязьма, ул. Московская</v>
      </c>
      <c r="AE45" s="4028"/>
      <c r="AF45" s="4028"/>
      <c r="AG45" s="4028"/>
      <c r="AH45" s="4028"/>
      <c r="AI45" s="4028"/>
      <c r="AJ45" s="4028"/>
      <c r="AK45" s="4028"/>
      <c r="AL45" s="4029"/>
      <c r="AM45" s="1182" t="s">
        <v>608</v>
      </c>
      <c r="AO45" s="434"/>
      <c r="AP45" s="434" t="str">
        <f t="shared" si="1"/>
        <v xml:space="preserve">Наименование системы теплоснабжения </v>
      </c>
      <c r="AQ45" s="434"/>
      <c r="AR45" s="434"/>
      <c r="AS45" s="1079">
        <v>23</v>
      </c>
    </row>
    <row r="46" spans="1:45" ht="21.95" customHeight="1">
      <c r="A46" s="1287" t="s">
        <v>293</v>
      </c>
      <c r="B46" s="1287" t="s">
        <v>294</v>
      </c>
      <c r="C46" s="1287" t="s">
        <v>295</v>
      </c>
      <c r="D46" s="1287" t="s">
        <v>296</v>
      </c>
      <c r="E46" s="4034"/>
      <c r="F46" s="4034"/>
      <c r="G46" s="4034"/>
      <c r="H46" s="4033">
        <v>1</v>
      </c>
      <c r="I46" s="1287"/>
      <c r="J46" s="1287"/>
      <c r="K46" s="1287"/>
      <c r="L46" s="1288"/>
      <c r="M46" s="1289"/>
      <c r="N46" s="1289"/>
      <c r="O46" s="1289"/>
      <c r="P46" s="288"/>
      <c r="Q46" s="286"/>
      <c r="R46" s="287"/>
      <c r="S46" s="1260" t="str">
        <f>INDEX(PT_DIFFERENTIATION_NUM_IST_TE,MATCH(D46,PT_DIFFERENTIATION_IST_TE_ID,0))</f>
        <v>1.1.1.1</v>
      </c>
      <c r="T46" s="245" t="s">
        <v>609</v>
      </c>
      <c r="U46" s="235"/>
      <c r="V46" s="4027"/>
      <c r="W46" s="4028"/>
      <c r="X46" s="4028"/>
      <c r="Y46" s="4028"/>
      <c r="Z46" s="4028"/>
      <c r="AA46" s="4028"/>
      <c r="AB46" s="4028"/>
      <c r="AC46" s="4029"/>
      <c r="AD46" s="4027" t="str">
        <f>INDEX(PT_DIFFERENTIATION_IST_TE,MATCH(D46,PT_DIFFERENTIATION_IST_TE_ID,0))</f>
        <v>без дифференциации</v>
      </c>
      <c r="AE46" s="4028"/>
      <c r="AF46" s="4028"/>
      <c r="AG46" s="4028"/>
      <c r="AH46" s="4028"/>
      <c r="AI46" s="4028"/>
      <c r="AJ46" s="4028"/>
      <c r="AK46" s="4028"/>
      <c r="AL46" s="4029"/>
      <c r="AM46" s="1182" t="s">
        <v>610</v>
      </c>
      <c r="AO46" s="434"/>
      <c r="AP46" s="434" t="str">
        <f t="shared" si="1"/>
        <v xml:space="preserve">Источник тепловой энергии  </v>
      </c>
      <c r="AQ46" s="434"/>
      <c r="AR46" s="434"/>
      <c r="AS46" s="1079">
        <v>21</v>
      </c>
    </row>
    <row r="47" spans="1:45" s="1566" customFormat="1" ht="0" hidden="1" customHeight="1">
      <c r="A47" s="1267" t="s">
        <v>293</v>
      </c>
      <c r="B47" s="1267" t="s">
        <v>294</v>
      </c>
      <c r="C47" s="1267" t="s">
        <v>295</v>
      </c>
      <c r="D47" s="1267" t="s">
        <v>296</v>
      </c>
      <c r="E47" s="4034"/>
      <c r="F47" s="4034"/>
      <c r="G47" s="4034"/>
      <c r="H47" s="4034"/>
      <c r="I47" s="4035" t="str">
        <f>S46&amp;".1"</f>
        <v>1.1.1.1.1</v>
      </c>
      <c r="J47" s="1267"/>
      <c r="K47" s="1267"/>
      <c r="L47" s="1270" t="s">
        <v>611</v>
      </c>
      <c r="M47" s="444"/>
      <c r="N47" s="444"/>
      <c r="O47" s="444"/>
      <c r="P47" s="4037">
        <v>1</v>
      </c>
      <c r="Q47" s="1255"/>
      <c r="R47" s="290"/>
      <c r="S47" s="969"/>
      <c r="T47" s="1307"/>
      <c r="U47" s="1308"/>
      <c r="V47" s="4064"/>
      <c r="W47" s="4065"/>
      <c r="X47" s="4065"/>
      <c r="Y47" s="4065"/>
      <c r="Z47" s="4065"/>
      <c r="AA47" s="4065"/>
      <c r="AB47" s="4065"/>
      <c r="AC47" s="4066"/>
      <c r="AD47" s="4064"/>
      <c r="AE47" s="4065"/>
      <c r="AF47" s="4065"/>
      <c r="AG47" s="4065"/>
      <c r="AH47" s="4065"/>
      <c r="AI47" s="4065"/>
      <c r="AJ47" s="4065"/>
      <c r="AK47" s="4065"/>
      <c r="AL47" s="4066"/>
      <c r="AM47" s="1309"/>
      <c r="AO47" s="434"/>
      <c r="AP47" s="434" t="str">
        <f t="shared" si="1"/>
        <v/>
      </c>
      <c r="AQ47" s="434"/>
      <c r="AR47" s="434"/>
      <c r="AS47" s="445">
        <v>0</v>
      </c>
    </row>
    <row r="48" spans="1:45" ht="21.95" customHeight="1">
      <c r="A48" s="1287" t="s">
        <v>293</v>
      </c>
      <c r="B48" s="1287" t="s">
        <v>294</v>
      </c>
      <c r="C48" s="1287" t="s">
        <v>295</v>
      </c>
      <c r="D48" s="1287" t="s">
        <v>296</v>
      </c>
      <c r="E48" s="4034"/>
      <c r="F48" s="4034"/>
      <c r="G48" s="4034"/>
      <c r="H48" s="4034"/>
      <c r="I48" s="4036"/>
      <c r="J48" s="4035" t="str">
        <f>S46&amp;".1"</f>
        <v>1.1.1.1.1</v>
      </c>
      <c r="K48" s="1287"/>
      <c r="L48" s="1288" t="s">
        <v>614</v>
      </c>
      <c r="P48" s="4037"/>
      <c r="Q48" s="4037">
        <v>1</v>
      </c>
      <c r="R48" s="291"/>
      <c r="S48" s="1260" t="str">
        <f>$J48</f>
        <v>1.1.1.1.1</v>
      </c>
      <c r="T48" s="221" t="s">
        <v>615</v>
      </c>
      <c r="U48" s="235"/>
      <c r="V48" s="4021"/>
      <c r="W48" s="4022"/>
      <c r="X48" s="4022"/>
      <c r="Y48" s="4022"/>
      <c r="Z48" s="4022"/>
      <c r="AA48" s="4022"/>
      <c r="AB48" s="4022"/>
      <c r="AC48" s="4023"/>
      <c r="AD48" s="4021" t="s">
        <v>654</v>
      </c>
      <c r="AE48" s="4022"/>
      <c r="AF48" s="4022"/>
      <c r="AG48" s="4022"/>
      <c r="AH48" s="4022"/>
      <c r="AI48" s="4022"/>
      <c r="AJ48" s="4022"/>
      <c r="AK48" s="4022"/>
      <c r="AL48" s="4023"/>
      <c r="AM48" s="1182" t="s">
        <v>616</v>
      </c>
      <c r="AO48" s="434"/>
      <c r="AP48" s="434" t="str">
        <f t="shared" si="1"/>
        <v>Группа потребителей</v>
      </c>
      <c r="AQ48" s="434"/>
      <c r="AR48" s="434"/>
      <c r="AS48" s="1079">
        <v>21</v>
      </c>
    </row>
    <row r="49" spans="1:45" ht="21.95" customHeight="1">
      <c r="A49" s="1287" t="s">
        <v>293</v>
      </c>
      <c r="B49" s="1287" t="s">
        <v>294</v>
      </c>
      <c r="C49" s="1287" t="s">
        <v>295</v>
      </c>
      <c r="D49" s="1287" t="s">
        <v>296</v>
      </c>
      <c r="E49" s="4034"/>
      <c r="F49" s="4034"/>
      <c r="G49" s="4034"/>
      <c r="H49" s="4034"/>
      <c r="I49" s="4036"/>
      <c r="J49" s="4036"/>
      <c r="K49" s="4035" t="str">
        <f>J48&amp;".1"</f>
        <v>1.1.1.1.1.1</v>
      </c>
      <c r="L49" s="1288" t="s">
        <v>617</v>
      </c>
      <c r="P49" s="4037"/>
      <c r="Q49" s="4037"/>
      <c r="R49" s="291">
        <v>1</v>
      </c>
      <c r="S49" s="1260" t="str">
        <f>$K49</f>
        <v>1.1.1.1.1.1</v>
      </c>
      <c r="T49" s="1271" t="s">
        <v>656</v>
      </c>
      <c r="U49" s="235"/>
      <c r="V49" s="685"/>
      <c r="W49" s="260"/>
      <c r="X49" s="685"/>
      <c r="Y49" s="1181"/>
      <c r="Z49" s="4038"/>
      <c r="AA49" s="3899" t="s">
        <v>53</v>
      </c>
      <c r="AB49" s="4038"/>
      <c r="AC49" s="3899" t="s">
        <v>53</v>
      </c>
      <c r="AD49" s="685">
        <v>137.94</v>
      </c>
      <c r="AE49" s="260"/>
      <c r="AF49" s="685"/>
      <c r="AG49" s="1181"/>
      <c r="AH49" s="4038">
        <v>46023.694652777776</v>
      </c>
      <c r="AI49" s="3899" t="s">
        <v>53</v>
      </c>
      <c r="AJ49" s="4040">
        <v>46387.694814814815</v>
      </c>
      <c r="AK49" s="3899" t="s">
        <v>53</v>
      </c>
      <c r="AL49" s="1272"/>
      <c r="AM49" s="4056" t="s">
        <v>657</v>
      </c>
      <c r="AN49" s="445" t="e">
        <f ca="1">STRCHECKDATE(V50:AL50)</f>
        <v>#NAME?</v>
      </c>
      <c r="AO49" s="434"/>
      <c r="AP49" s="434" t="str">
        <f t="shared" si="1"/>
        <v>вода</v>
      </c>
      <c r="AQ49" s="434"/>
      <c r="AR49" s="434"/>
      <c r="AS49" s="1079">
        <v>21</v>
      </c>
    </row>
    <row r="50" spans="1:45" ht="1.1499999999999999" customHeight="1">
      <c r="A50" s="1287" t="s">
        <v>293</v>
      </c>
      <c r="B50" s="1287" t="s">
        <v>294</v>
      </c>
      <c r="C50" s="1287" t="s">
        <v>295</v>
      </c>
      <c r="D50" s="1287" t="s">
        <v>296</v>
      </c>
      <c r="E50" s="4034"/>
      <c r="F50" s="4034"/>
      <c r="G50" s="4034"/>
      <c r="H50" s="4034"/>
      <c r="I50" s="4036"/>
      <c r="J50" s="4036"/>
      <c r="K50" s="4035"/>
      <c r="L50" s="1288"/>
      <c r="P50" s="4037"/>
      <c r="Q50" s="4037"/>
      <c r="R50" s="291"/>
      <c r="S50" s="1266"/>
      <c r="T50" s="235"/>
      <c r="U50" s="235"/>
      <c r="V50" s="260"/>
      <c r="W50" s="260"/>
      <c r="X50" s="260"/>
      <c r="Y50" s="263" t="str">
        <f>Z49&amp;"-"&amp;AB49</f>
        <v>-</v>
      </c>
      <c r="Z50" s="4039"/>
      <c r="AA50" s="3899"/>
      <c r="AB50" s="4039"/>
      <c r="AC50" s="3899"/>
      <c r="AD50" s="260"/>
      <c r="AE50" s="260"/>
      <c r="AF50" s="260"/>
      <c r="AG50" s="263" t="str">
        <f>AH49&amp;"-"&amp;AJ49</f>
        <v>46023,6946527778-46387,6948148148</v>
      </c>
      <c r="AH50" s="4039"/>
      <c r="AI50" s="3899"/>
      <c r="AJ50" s="4041"/>
      <c r="AK50" s="3899"/>
      <c r="AL50" s="1273"/>
      <c r="AM50" s="4057"/>
      <c r="AO50" s="434"/>
      <c r="AP50" s="434" t="str">
        <f t="shared" si="1"/>
        <v/>
      </c>
      <c r="AQ50" s="434"/>
      <c r="AR50" s="434"/>
      <c r="AS50" s="1079">
        <v>1</v>
      </c>
    </row>
    <row r="51" spans="1:45" ht="11.45" customHeight="1">
      <c r="A51" s="1287" t="s">
        <v>293</v>
      </c>
      <c r="B51" s="1287" t="s">
        <v>294</v>
      </c>
      <c r="C51" s="1287" t="s">
        <v>295</v>
      </c>
      <c r="D51" s="1287" t="s">
        <v>296</v>
      </c>
      <c r="E51" s="4034"/>
      <c r="F51" s="4034"/>
      <c r="G51" s="4034"/>
      <c r="H51" s="4034"/>
      <c r="I51" s="4036"/>
      <c r="J51" s="4035"/>
      <c r="K51" s="1287"/>
      <c r="L51" s="1288"/>
      <c r="P51" s="4037"/>
      <c r="Q51" s="4037"/>
      <c r="R51" s="290"/>
      <c r="S51" s="1202"/>
      <c r="T51" s="222" t="s">
        <v>619</v>
      </c>
      <c r="U51" s="301"/>
      <c r="V51" s="301"/>
      <c r="W51" s="301"/>
      <c r="X51" s="301"/>
      <c r="Y51" s="301"/>
      <c r="Z51" s="301"/>
      <c r="AA51" s="301"/>
      <c r="AB51" s="301"/>
      <c r="AC51" s="301"/>
      <c r="AD51" s="301"/>
      <c r="AE51" s="301"/>
      <c r="AF51" s="301"/>
      <c r="AG51" s="301"/>
      <c r="AH51" s="301"/>
      <c r="AI51" s="301"/>
      <c r="AJ51" s="301"/>
      <c r="AK51" s="301"/>
      <c r="AL51" s="259"/>
      <c r="AM51" s="4058"/>
      <c r="AO51" s="434"/>
      <c r="AP51" s="434" t="str">
        <f t="shared" si="1"/>
        <v>Добавить вид теплоносителя (параметры теплоносителя)</v>
      </c>
      <c r="AQ51" s="434"/>
      <c r="AR51" s="434"/>
      <c r="AS51" s="1079">
        <v>11</v>
      </c>
    </row>
    <row r="52" spans="1:45" ht="11.45" customHeight="1">
      <c r="A52" s="1287" t="s">
        <v>293</v>
      </c>
      <c r="B52" s="1287" t="s">
        <v>294</v>
      </c>
      <c r="C52" s="1287" t="s">
        <v>295</v>
      </c>
      <c r="D52" s="1287" t="s">
        <v>296</v>
      </c>
      <c r="E52" s="4034"/>
      <c r="F52" s="4034"/>
      <c r="G52" s="4034"/>
      <c r="H52" s="4034"/>
      <c r="I52" s="4035"/>
      <c r="J52" s="1287"/>
      <c r="K52" s="1287"/>
      <c r="L52" s="1288"/>
      <c r="P52" s="4037"/>
      <c r="Q52" s="1255"/>
      <c r="R52" s="290"/>
      <c r="S52" s="1202"/>
      <c r="T52" s="299" t="s">
        <v>620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9">
        <v>11</v>
      </c>
    </row>
    <row r="53" spans="1:45" ht="0" hidden="1" customHeight="1">
      <c r="A53" s="1287" t="s">
        <v>293</v>
      </c>
      <c r="B53" s="1287" t="s">
        <v>294</v>
      </c>
      <c r="C53" s="1287" t="s">
        <v>295</v>
      </c>
      <c r="D53" s="1287" t="s">
        <v>296</v>
      </c>
      <c r="E53" s="4034"/>
      <c r="F53" s="4034"/>
      <c r="G53" s="4034"/>
      <c r="H53" s="4033"/>
      <c r="I53" s="1287"/>
      <c r="J53" s="1287"/>
      <c r="K53" s="1287"/>
      <c r="L53" s="1288"/>
      <c r="M53" s="1289"/>
      <c r="N53" s="1289"/>
      <c r="O53" s="471"/>
      <c r="P53" s="294"/>
      <c r="Q53" s="309"/>
      <c r="R53" s="289"/>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4"/>
      <c r="AP53" s="434" t="str">
        <f t="shared" si="1"/>
        <v/>
      </c>
      <c r="AQ53" s="434"/>
      <c r="AR53" s="434"/>
      <c r="AS53" s="1079">
        <v>0</v>
      </c>
    </row>
    <row r="54" spans="1:45" s="1566" customFormat="1" ht="1.1499999999999999" customHeight="1">
      <c r="A54" s="1267" t="s">
        <v>293</v>
      </c>
      <c r="B54" s="1267" t="s">
        <v>294</v>
      </c>
      <c r="C54" s="1267" t="s">
        <v>295</v>
      </c>
      <c r="D54" s="1238"/>
      <c r="E54" s="4034"/>
      <c r="F54" s="4034"/>
      <c r="G54" s="4033"/>
      <c r="H54" s="1238"/>
      <c r="I54" s="1238"/>
      <c r="J54" s="1238"/>
      <c r="K54" s="1238"/>
      <c r="L54" s="1263"/>
      <c r="M54" s="1239"/>
      <c r="N54" s="1239"/>
      <c r="P54" s="1240"/>
      <c r="Q54" s="1241"/>
      <c r="R54" s="1240"/>
      <c r="S54" s="1246"/>
      <c r="T54" s="1249" t="s">
        <v>235</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2">
        <v>1</v>
      </c>
    </row>
    <row r="55" spans="1:45" s="1566" customFormat="1" ht="1.1499999999999999" customHeight="1">
      <c r="A55" s="1267" t="s">
        <v>293</v>
      </c>
      <c r="B55" s="1267" t="s">
        <v>294</v>
      </c>
      <c r="C55" s="1238"/>
      <c r="D55" s="1238"/>
      <c r="E55" s="4034"/>
      <c r="F55" s="4033"/>
      <c r="G55" s="1238"/>
      <c r="H55" s="1238"/>
      <c r="I55" s="1238"/>
      <c r="J55" s="1238"/>
      <c r="K55" s="1238"/>
      <c r="L55" s="1263"/>
      <c r="M55" s="1245"/>
      <c r="N55" s="1245"/>
      <c r="P55" s="1240"/>
      <c r="Q55" s="1241"/>
      <c r="R55" s="1240"/>
      <c r="S55" s="1246"/>
      <c r="T55" s="1249" t="s">
        <v>236</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2">
        <v>1</v>
      </c>
    </row>
    <row r="56" spans="1:45" s="1745" customFormat="1" ht="21" customHeight="1">
      <c r="A56" s="1287"/>
      <c r="B56" s="1287" t="s">
        <v>298</v>
      </c>
      <c r="C56" s="1287"/>
      <c r="D56" s="1287"/>
      <c r="E56" s="4034"/>
      <c r="F56" s="4033" t="s">
        <v>89</v>
      </c>
      <c r="G56" s="1287"/>
      <c r="H56" s="1287"/>
      <c r="I56" s="1287"/>
      <c r="J56" s="1287"/>
      <c r="K56" s="1287"/>
      <c r="L56" s="1293"/>
      <c r="M56" s="1289"/>
      <c r="N56" s="1289"/>
      <c r="O56" s="1289"/>
      <c r="P56" s="1970"/>
      <c r="Q56" s="286"/>
      <c r="R56" s="287"/>
      <c r="S56" s="1972" t="str">
        <f>INDEX(PT_DIFFERENTIATION_NUM_TER,MATCH(B56,PT_DIFFERENTIATION_TER_ID,0))</f>
        <v>1.2</v>
      </c>
      <c r="T56" s="1446" t="s">
        <v>605</v>
      </c>
      <c r="U56" s="235"/>
      <c r="V56" s="4027"/>
      <c r="W56" s="4028"/>
      <c r="X56" s="4028"/>
      <c r="Y56" s="4028"/>
      <c r="Z56" s="4028"/>
      <c r="AA56" s="4028"/>
      <c r="AB56" s="4028"/>
      <c r="AC56" s="4029"/>
      <c r="AD56" s="4027" t="str">
        <f>INDEX(PT_DIFFERENTIATION_TER,MATCH(B56,PT_DIFFERENTIATION_TER_ID,0))</f>
        <v>Территория 12</v>
      </c>
      <c r="AE56" s="4028"/>
      <c r="AF56" s="4028"/>
      <c r="AG56" s="4028"/>
      <c r="AH56" s="4028"/>
      <c r="AI56" s="4028"/>
      <c r="AJ56" s="4028"/>
      <c r="AK56" s="4028"/>
      <c r="AL56" s="4029"/>
      <c r="AM56" s="1182" t="s">
        <v>606</v>
      </c>
      <c r="AN56" s="1566"/>
      <c r="AO56" s="1548"/>
      <c r="AP56" s="1548" t="str">
        <f t="shared" si="1"/>
        <v>Территория действия тарифа</v>
      </c>
      <c r="AQ56" s="1548"/>
      <c r="AR56" s="1548"/>
      <c r="AS56" s="1559">
        <v>0</v>
      </c>
    </row>
    <row r="57" spans="1:45" s="1745" customFormat="1" ht="23.25" customHeight="1">
      <c r="A57" s="1287"/>
      <c r="B57" s="1287"/>
      <c r="C57" s="1287" t="s">
        <v>299</v>
      </c>
      <c r="D57" s="1287"/>
      <c r="E57" s="4034"/>
      <c r="F57" s="4034">
        <v>1</v>
      </c>
      <c r="G57" s="4033">
        <v>1</v>
      </c>
      <c r="H57" s="1287"/>
      <c r="I57" s="1287"/>
      <c r="J57" s="1287"/>
      <c r="K57" s="1287"/>
      <c r="L57" s="1293"/>
      <c r="M57" s="1289"/>
      <c r="N57" s="1289"/>
      <c r="O57" s="1289"/>
      <c r="P57" s="288"/>
      <c r="Q57" s="286"/>
      <c r="R57" s="287"/>
      <c r="S57" s="1972" t="str">
        <f>INDEX(PT_DIFFERENTIATION_NUM_CS,MATCH(C57,PT_DIFFERENTIATION_CS_ID,0))</f>
        <v>1.2.1</v>
      </c>
      <c r="T57" s="244" t="s">
        <v>607</v>
      </c>
      <c r="U57" s="235"/>
      <c r="V57" s="4027"/>
      <c r="W57" s="4028"/>
      <c r="X57" s="4028"/>
      <c r="Y57" s="4028"/>
      <c r="Z57" s="4028"/>
      <c r="AA57" s="4028"/>
      <c r="AB57" s="4028"/>
      <c r="AC57" s="4029"/>
      <c r="AD57" s="4027" t="str">
        <f>INDEX(PT_DIFFERENTIATION_CS,MATCH(C57,PT_DIFFERENTIATION_CS_ID,0))</f>
        <v>Вяземский ТУ</v>
      </c>
      <c r="AE57" s="4028"/>
      <c r="AF57" s="4028"/>
      <c r="AG57" s="4028"/>
      <c r="AH57" s="4028"/>
      <c r="AI57" s="4028"/>
      <c r="AJ57" s="4028"/>
      <c r="AK57" s="4028"/>
      <c r="AL57" s="4029"/>
      <c r="AM57" s="1182" t="s">
        <v>608</v>
      </c>
      <c r="AN57" s="1566"/>
      <c r="AO57" s="1548"/>
      <c r="AP57" s="1548" t="str">
        <f t="shared" si="1"/>
        <v xml:space="preserve">Наименование системы теплоснабжения </v>
      </c>
      <c r="AQ57" s="1548"/>
      <c r="AR57" s="1548"/>
      <c r="AS57" s="1559">
        <v>0</v>
      </c>
    </row>
    <row r="58" spans="1:45" s="1745" customFormat="1" ht="21" customHeight="1">
      <c r="A58" s="1287"/>
      <c r="B58" s="1287"/>
      <c r="C58" s="1287"/>
      <c r="D58" s="1287" t="s">
        <v>300</v>
      </c>
      <c r="E58" s="4034"/>
      <c r="F58" s="4034">
        <v>1</v>
      </c>
      <c r="G58" s="4034"/>
      <c r="H58" s="4033">
        <v>1</v>
      </c>
      <c r="I58" s="1287"/>
      <c r="J58" s="1287"/>
      <c r="K58" s="1287"/>
      <c r="L58" s="1293"/>
      <c r="M58" s="1289"/>
      <c r="N58" s="1289"/>
      <c r="O58" s="1289"/>
      <c r="P58" s="288"/>
      <c r="Q58" s="286"/>
      <c r="R58" s="287"/>
      <c r="S58" s="1972" t="str">
        <f>INDEX(PT_DIFFERENTIATION_NUM_IST_TE,MATCH(D58,PT_DIFFERENTIATION_IST_TE_ID,0))</f>
        <v>1.2.1.1</v>
      </c>
      <c r="T58" s="245" t="s">
        <v>609</v>
      </c>
      <c r="U58" s="235"/>
      <c r="V58" s="4027"/>
      <c r="W58" s="4028"/>
      <c r="X58" s="4028"/>
      <c r="Y58" s="4028"/>
      <c r="Z58" s="4028"/>
      <c r="AA58" s="4028"/>
      <c r="AB58" s="4028"/>
      <c r="AC58" s="4029"/>
      <c r="AD58" s="4027" t="str">
        <f>INDEX(PT_DIFFERENTIATION_IST_TE,MATCH(D58,PT_DIFFERENTIATION_IST_TE_ID,0))</f>
        <v>без дифференциации</v>
      </c>
      <c r="AE58" s="4028"/>
      <c r="AF58" s="4028"/>
      <c r="AG58" s="4028"/>
      <c r="AH58" s="4028"/>
      <c r="AI58" s="4028"/>
      <c r="AJ58" s="4028"/>
      <c r="AK58" s="4028"/>
      <c r="AL58" s="4029"/>
      <c r="AM58" s="1182" t="s">
        <v>610</v>
      </c>
      <c r="AN58" s="1566"/>
      <c r="AO58" s="1548"/>
      <c r="AP58" s="1548" t="str">
        <f t="shared" si="1"/>
        <v xml:space="preserve">Источник тепловой энергии  </v>
      </c>
      <c r="AQ58" s="1548"/>
      <c r="AR58" s="1548"/>
      <c r="AS58" s="1559">
        <v>0</v>
      </c>
    </row>
    <row r="59" spans="1:45" s="1745" customFormat="1" ht="14.25" customHeight="1">
      <c r="A59" s="1287"/>
      <c r="B59" s="1287"/>
      <c r="C59" s="1287"/>
      <c r="D59" s="1287"/>
      <c r="E59" s="4034"/>
      <c r="F59" s="4034">
        <v>1</v>
      </c>
      <c r="G59" s="4034"/>
      <c r="H59" s="4034"/>
      <c r="I59" s="4035" t="str">
        <f>S58&amp;".1"</f>
        <v>1.2.1.1.1</v>
      </c>
      <c r="J59" s="1287"/>
      <c r="K59" s="1287"/>
      <c r="L59" s="1293" t="s">
        <v>611</v>
      </c>
      <c r="M59" s="1290"/>
      <c r="N59" s="1672"/>
      <c r="O59" s="1672"/>
      <c r="P59" s="4037">
        <v>1</v>
      </c>
      <c r="Q59" s="1974"/>
      <c r="R59" s="290"/>
      <c r="S59" s="1973"/>
      <c r="T59" s="1307"/>
      <c r="U59" s="1308"/>
      <c r="V59" s="4064"/>
      <c r="W59" s="4065"/>
      <c r="X59" s="4065"/>
      <c r="Y59" s="4065"/>
      <c r="Z59" s="4065"/>
      <c r="AA59" s="4065"/>
      <c r="AB59" s="4065"/>
      <c r="AC59" s="4066"/>
      <c r="AD59" s="4064"/>
      <c r="AE59" s="4065"/>
      <c r="AF59" s="4065"/>
      <c r="AG59" s="4065"/>
      <c r="AH59" s="4065"/>
      <c r="AI59" s="4065"/>
      <c r="AJ59" s="4065"/>
      <c r="AK59" s="4065"/>
      <c r="AL59" s="4066"/>
      <c r="AM59" s="1309"/>
      <c r="AN59" s="1566"/>
      <c r="AO59" s="1548"/>
      <c r="AP59" s="1548" t="str">
        <f t="shared" si="1"/>
        <v/>
      </c>
      <c r="AQ59" s="1548"/>
      <c r="AR59" s="1548"/>
      <c r="AS59" s="1559">
        <v>0</v>
      </c>
    </row>
    <row r="60" spans="1:45" s="1745" customFormat="1" ht="21" customHeight="1">
      <c r="A60" s="1287"/>
      <c r="B60" s="1287"/>
      <c r="C60" s="1287"/>
      <c r="D60" s="1287"/>
      <c r="E60" s="4034"/>
      <c r="F60" s="4034">
        <v>1</v>
      </c>
      <c r="G60" s="4034"/>
      <c r="H60" s="4034"/>
      <c r="I60" s="4036"/>
      <c r="J60" s="4035" t="str">
        <f>I59&amp;".1"</f>
        <v>1.2.1.1.1.1</v>
      </c>
      <c r="K60" s="1287"/>
      <c r="L60" s="1293" t="s">
        <v>614</v>
      </c>
      <c r="M60" s="1290"/>
      <c r="N60" s="1290"/>
      <c r="O60" s="1672"/>
      <c r="P60" s="4037"/>
      <c r="Q60" s="4037">
        <v>1</v>
      </c>
      <c r="R60" s="291"/>
      <c r="S60" s="1972" t="str">
        <f>$J60</f>
        <v>1.2.1.1.1.1</v>
      </c>
      <c r="T60" s="221" t="s">
        <v>615</v>
      </c>
      <c r="U60" s="235"/>
      <c r="V60" s="4021"/>
      <c r="W60" s="4022"/>
      <c r="X60" s="4022"/>
      <c r="Y60" s="4022"/>
      <c r="Z60" s="4022"/>
      <c r="AA60" s="4022"/>
      <c r="AB60" s="4022"/>
      <c r="AC60" s="4023"/>
      <c r="AD60" s="4021" t="s">
        <v>654</v>
      </c>
      <c r="AE60" s="4022"/>
      <c r="AF60" s="4022"/>
      <c r="AG60" s="4022"/>
      <c r="AH60" s="4022"/>
      <c r="AI60" s="4022"/>
      <c r="AJ60" s="4022"/>
      <c r="AK60" s="4022"/>
      <c r="AL60" s="4023"/>
      <c r="AM60" s="1182" t="s">
        <v>616</v>
      </c>
      <c r="AN60" s="1566"/>
      <c r="AO60" s="1548"/>
      <c r="AP60" s="1548" t="str">
        <f t="shared" si="1"/>
        <v>Группа потребителей</v>
      </c>
      <c r="AQ60" s="1548"/>
      <c r="AR60" s="1548"/>
      <c r="AS60" s="1559">
        <v>0</v>
      </c>
    </row>
    <row r="61" spans="1:45" s="1745" customFormat="1" ht="21" customHeight="1">
      <c r="A61" s="1287"/>
      <c r="B61" s="1287"/>
      <c r="C61" s="1287"/>
      <c r="D61" s="1287"/>
      <c r="E61" s="4034"/>
      <c r="F61" s="4034">
        <v>1</v>
      </c>
      <c r="G61" s="4034"/>
      <c r="H61" s="4034"/>
      <c r="I61" s="4036"/>
      <c r="J61" s="4036"/>
      <c r="K61" s="4035" t="str">
        <f>J60&amp;".1"</f>
        <v>1.2.1.1.1.1.1</v>
      </c>
      <c r="L61" s="1293" t="s">
        <v>617</v>
      </c>
      <c r="M61" s="1290"/>
      <c r="N61" s="1290"/>
      <c r="O61" s="1290"/>
      <c r="P61" s="4037"/>
      <c r="Q61" s="4037"/>
      <c r="R61" s="291">
        <v>1</v>
      </c>
      <c r="S61" s="1972" t="str">
        <f>$K61</f>
        <v>1.2.1.1.1.1.1</v>
      </c>
      <c r="T61" s="1271" t="s">
        <v>656</v>
      </c>
      <c r="U61" s="235"/>
      <c r="V61" s="685"/>
      <c r="W61" s="260"/>
      <c r="X61" s="685"/>
      <c r="Y61" s="1181"/>
      <c r="Z61" s="4038"/>
      <c r="AA61" s="3899" t="s">
        <v>53</v>
      </c>
      <c r="AB61" s="4038"/>
      <c r="AC61" s="3899" t="s">
        <v>53</v>
      </c>
      <c r="AD61" s="685">
        <v>207.34</v>
      </c>
      <c r="AE61" s="260"/>
      <c r="AF61" s="685"/>
      <c r="AG61" s="1181"/>
      <c r="AH61" s="4038">
        <v>46023.695902777778</v>
      </c>
      <c r="AI61" s="3899" t="s">
        <v>53</v>
      </c>
      <c r="AJ61" s="4038">
        <v>46387.696030092593</v>
      </c>
      <c r="AK61" s="3899" t="s">
        <v>53</v>
      </c>
      <c r="AL61" s="260"/>
      <c r="AM61" s="4056" t="s">
        <v>618</v>
      </c>
      <c r="AN61" s="1566" t="e">
        <f ca="1">STRCHECKDATE(V62:AL62)</f>
        <v>#NAME?</v>
      </c>
      <c r="AO61" s="1548"/>
      <c r="AP61" s="1548" t="str">
        <f t="shared" si="1"/>
        <v>вода</v>
      </c>
      <c r="AQ61" s="1548"/>
      <c r="AR61" s="1548"/>
      <c r="AS61" s="1559">
        <v>0</v>
      </c>
    </row>
    <row r="62" spans="1:45" s="1745" customFormat="1" ht="0.75" customHeight="1">
      <c r="A62" s="1287"/>
      <c r="B62" s="1287"/>
      <c r="C62" s="1287"/>
      <c r="D62" s="1287"/>
      <c r="E62" s="4034"/>
      <c r="F62" s="4034">
        <v>1</v>
      </c>
      <c r="G62" s="4034"/>
      <c r="H62" s="4034"/>
      <c r="I62" s="4036"/>
      <c r="J62" s="4036"/>
      <c r="K62" s="4035"/>
      <c r="L62" s="1293"/>
      <c r="M62" s="1290"/>
      <c r="N62" s="1290"/>
      <c r="O62" s="1290"/>
      <c r="P62" s="4037"/>
      <c r="Q62" s="4037"/>
      <c r="R62" s="291"/>
      <c r="S62" s="1978"/>
      <c r="T62" s="235"/>
      <c r="U62" s="235"/>
      <c r="V62" s="260"/>
      <c r="W62" s="260"/>
      <c r="X62" s="260"/>
      <c r="Y62" s="263" t="str">
        <f>Z61&amp;"-"&amp;AB61</f>
        <v>-</v>
      </c>
      <c r="Z62" s="4039"/>
      <c r="AA62" s="3899"/>
      <c r="AB62" s="4039"/>
      <c r="AC62" s="3899"/>
      <c r="AD62" s="260"/>
      <c r="AE62" s="260"/>
      <c r="AF62" s="260"/>
      <c r="AG62" s="263" t="str">
        <f>AH61&amp;"-"&amp;AJ61</f>
        <v>46023,6959027778-46387,6960300926</v>
      </c>
      <c r="AH62" s="4039"/>
      <c r="AI62" s="3899"/>
      <c r="AJ62" s="4039"/>
      <c r="AK62" s="3899"/>
      <c r="AL62" s="260"/>
      <c r="AM62" s="4057"/>
      <c r="AN62" s="1566"/>
      <c r="AO62" s="1548"/>
      <c r="AP62" s="1548" t="str">
        <f t="shared" si="1"/>
        <v/>
      </c>
      <c r="AQ62" s="1548"/>
      <c r="AR62" s="1548"/>
      <c r="AS62" s="1559">
        <v>0</v>
      </c>
    </row>
    <row r="63" spans="1:45" s="1745" customFormat="1" ht="15" customHeight="1">
      <c r="A63" s="1287"/>
      <c r="B63" s="1287"/>
      <c r="C63" s="1287"/>
      <c r="D63" s="1287"/>
      <c r="E63" s="4034"/>
      <c r="F63" s="4034">
        <v>1</v>
      </c>
      <c r="G63" s="4034"/>
      <c r="H63" s="4034"/>
      <c r="I63" s="4036"/>
      <c r="J63" s="4035"/>
      <c r="K63" s="1287"/>
      <c r="L63" s="1293"/>
      <c r="M63" s="1290"/>
      <c r="N63" s="1290"/>
      <c r="O63" s="1672"/>
      <c r="P63" s="4037"/>
      <c r="Q63" s="4037"/>
      <c r="R63" s="290"/>
      <c r="S63" s="2921"/>
      <c r="T63" s="2922" t="s">
        <v>619</v>
      </c>
      <c r="U63" s="2923"/>
      <c r="V63" s="2924"/>
      <c r="W63" s="2925"/>
      <c r="X63" s="2926"/>
      <c r="Y63" s="2927"/>
      <c r="Z63" s="2928"/>
      <c r="AA63" s="2929"/>
      <c r="AB63" s="2930"/>
      <c r="AC63" s="2931"/>
      <c r="AD63" s="2932"/>
      <c r="AE63" s="2933"/>
      <c r="AF63" s="2934"/>
      <c r="AG63" s="2935"/>
      <c r="AH63" s="2936"/>
      <c r="AI63" s="2937"/>
      <c r="AJ63" s="2938"/>
      <c r="AK63" s="2939"/>
      <c r="AL63" s="2940"/>
      <c r="AM63" s="4058"/>
      <c r="AN63" s="1566"/>
      <c r="AO63" s="1548"/>
      <c r="AP63" s="1548" t="str">
        <f t="shared" si="1"/>
        <v>Добавить вид теплоносителя (параметры теплоносителя)</v>
      </c>
      <c r="AQ63" s="1548"/>
      <c r="AR63" s="1548"/>
      <c r="AS63" s="1559">
        <v>0</v>
      </c>
    </row>
    <row r="64" spans="1:45" s="1745" customFormat="1" ht="15" customHeight="1">
      <c r="A64" s="1287"/>
      <c r="B64" s="1287"/>
      <c r="C64" s="1287"/>
      <c r="D64" s="1287"/>
      <c r="E64" s="4034"/>
      <c r="F64" s="4034">
        <v>1</v>
      </c>
      <c r="G64" s="4034"/>
      <c r="H64" s="4034"/>
      <c r="I64" s="4035"/>
      <c r="J64" s="1287"/>
      <c r="K64" s="1287"/>
      <c r="L64" s="1293"/>
      <c r="M64" s="1290"/>
      <c r="N64" s="1672"/>
      <c r="O64" s="1672"/>
      <c r="P64" s="4037"/>
      <c r="Q64" s="1974"/>
      <c r="R64" s="290"/>
      <c r="S64" s="2941"/>
      <c r="T64" s="2942" t="s">
        <v>620</v>
      </c>
      <c r="U64" s="2943"/>
      <c r="V64" s="2944"/>
      <c r="W64" s="2945"/>
      <c r="X64" s="2946"/>
      <c r="Y64" s="2947"/>
      <c r="Z64" s="2948"/>
      <c r="AA64" s="2949"/>
      <c r="AB64" s="2950"/>
      <c r="AC64" s="2951"/>
      <c r="AD64" s="2952"/>
      <c r="AE64" s="2953"/>
      <c r="AF64" s="2954"/>
      <c r="AG64" s="2955"/>
      <c r="AH64" s="2956"/>
      <c r="AI64" s="2957"/>
      <c r="AJ64" s="2958"/>
      <c r="AK64" s="2959"/>
      <c r="AL64" s="2960"/>
      <c r="AM64" s="2961"/>
      <c r="AN64" s="1566"/>
      <c r="AO64" s="1548"/>
      <c r="AP64" s="1548" t="str">
        <f t="shared" si="1"/>
        <v>Добавить группу потребителей</v>
      </c>
      <c r="AQ64" s="1548"/>
      <c r="AR64" s="1548"/>
      <c r="AS64" s="1559">
        <v>0</v>
      </c>
    </row>
    <row r="65" spans="1:45" s="1745" customFormat="1" ht="14.25" customHeight="1">
      <c r="A65" s="1287"/>
      <c r="B65" s="1287"/>
      <c r="C65" s="1287"/>
      <c r="D65" s="1287"/>
      <c r="E65" s="4034"/>
      <c r="F65" s="4034">
        <v>1</v>
      </c>
      <c r="G65" s="4034"/>
      <c r="H65" s="4033"/>
      <c r="I65" s="1287"/>
      <c r="J65" s="1287"/>
      <c r="K65" s="1287"/>
      <c r="L65" s="1293"/>
      <c r="M65" s="1289"/>
      <c r="N65" s="1289"/>
      <c r="O65" s="1290"/>
      <c r="P65" s="1718"/>
      <c r="Q65" s="309"/>
      <c r="R65" s="289"/>
      <c r="S65" s="1310"/>
      <c r="T65" s="1311"/>
      <c r="U65" s="1312"/>
      <c r="V65" s="1312"/>
      <c r="W65" s="1312"/>
      <c r="X65" s="1312"/>
      <c r="Y65" s="1312"/>
      <c r="Z65" s="1312"/>
      <c r="AA65" s="1312"/>
      <c r="AB65" s="1312"/>
      <c r="AC65" s="1312"/>
      <c r="AD65" s="1312"/>
      <c r="AE65" s="1312"/>
      <c r="AF65" s="1312"/>
      <c r="AG65" s="1312"/>
      <c r="AH65" s="1312"/>
      <c r="AI65" s="1312"/>
      <c r="AJ65" s="1312"/>
      <c r="AK65" s="1312"/>
      <c r="AL65" s="1312"/>
      <c r="AM65" s="1313"/>
      <c r="AN65" s="1566"/>
      <c r="AO65" s="1548"/>
      <c r="AP65" s="1548" t="str">
        <f t="shared" si="1"/>
        <v/>
      </c>
      <c r="AQ65" s="1548"/>
      <c r="AR65" s="1548"/>
      <c r="AS65" s="1559">
        <v>0</v>
      </c>
    </row>
    <row r="66" spans="1:45" s="556" customFormat="1" ht="0.75" customHeight="1">
      <c r="A66" s="1267"/>
      <c r="B66" s="1267"/>
      <c r="C66" s="1267"/>
      <c r="D66" s="1267"/>
      <c r="E66" s="4034"/>
      <c r="F66" s="4034">
        <v>1</v>
      </c>
      <c r="G66" s="4033"/>
      <c r="H66" s="1267"/>
      <c r="I66" s="1267"/>
      <c r="J66" s="1267"/>
      <c r="K66" s="1267"/>
      <c r="L66" s="1469"/>
      <c r="M66" s="1239"/>
      <c r="N66" s="1239"/>
      <c r="O66" s="1566"/>
      <c r="P66" s="1240"/>
      <c r="Q66" s="1268"/>
      <c r="R66" s="1240"/>
      <c r="S66" s="1242"/>
      <c r="T66" s="1243" t="s">
        <v>235</v>
      </c>
      <c r="U66" s="1244"/>
      <c r="V66" s="1244"/>
      <c r="W66" s="1244"/>
      <c r="X66" s="1244"/>
      <c r="Y66" s="1244"/>
      <c r="Z66" s="1244"/>
      <c r="AA66" s="1244"/>
      <c r="AB66" s="1244"/>
      <c r="AC66" s="1244"/>
      <c r="AD66" s="1244"/>
      <c r="AE66" s="1244"/>
      <c r="AF66" s="1244"/>
      <c r="AG66" s="1244"/>
      <c r="AH66" s="1244"/>
      <c r="AI66" s="1244"/>
      <c r="AJ66" s="1244"/>
      <c r="AK66" s="1244"/>
      <c r="AL66" s="1244"/>
      <c r="AM66" s="1244"/>
      <c r="AN66" s="1566"/>
      <c r="AO66" s="1548"/>
      <c r="AP66" s="1548" t="str">
        <f t="shared" si="1"/>
        <v>Добавить источник для дифференциации</v>
      </c>
      <c r="AQ66" s="1548"/>
      <c r="AR66" s="1548"/>
      <c r="AS66" s="1566">
        <v>0</v>
      </c>
    </row>
    <row r="67" spans="1:45" s="556" customFormat="1" ht="0.75" customHeight="1">
      <c r="A67" s="1267"/>
      <c r="B67" s="1267"/>
      <c r="C67" s="1267"/>
      <c r="D67" s="1267"/>
      <c r="E67" s="4034"/>
      <c r="F67" s="4033">
        <v>1</v>
      </c>
      <c r="G67" s="1267"/>
      <c r="H67" s="1267"/>
      <c r="I67" s="1267"/>
      <c r="J67" s="1267"/>
      <c r="K67" s="1267"/>
      <c r="L67" s="1469"/>
      <c r="M67" s="1245"/>
      <c r="N67" s="1245"/>
      <c r="O67" s="1566"/>
      <c r="P67" s="1240"/>
      <c r="Q67" s="1268"/>
      <c r="R67" s="1240"/>
      <c r="S67" s="1246"/>
      <c r="T67" s="1247" t="s">
        <v>236</v>
      </c>
      <c r="U67" s="1248"/>
      <c r="V67" s="1248"/>
      <c r="W67" s="1248"/>
      <c r="X67" s="1248"/>
      <c r="Y67" s="1248"/>
      <c r="Z67" s="1248"/>
      <c r="AA67" s="1248"/>
      <c r="AB67" s="1248"/>
      <c r="AC67" s="1248"/>
      <c r="AD67" s="1248"/>
      <c r="AE67" s="1248"/>
      <c r="AF67" s="1248"/>
      <c r="AG67" s="1248"/>
      <c r="AH67" s="1248"/>
      <c r="AI67" s="1248"/>
      <c r="AJ67" s="1248"/>
      <c r="AK67" s="1248"/>
      <c r="AL67" s="1248"/>
      <c r="AM67" s="1248"/>
      <c r="AN67" s="1566"/>
      <c r="AO67" s="1548"/>
      <c r="AP67" s="1548" t="str">
        <f t="shared" si="1"/>
        <v>Добавить централизованную систему для дифференциации</v>
      </c>
      <c r="AQ67" s="1548"/>
      <c r="AR67" s="1548"/>
      <c r="AS67" s="1566">
        <v>0</v>
      </c>
    </row>
    <row r="68" spans="1:45" s="1745" customFormat="1" ht="21" customHeight="1">
      <c r="A68" s="1287"/>
      <c r="B68" s="1287" t="s">
        <v>302</v>
      </c>
      <c r="C68" s="1287"/>
      <c r="D68" s="1287"/>
      <c r="E68" s="4034"/>
      <c r="F68" s="4033" t="s">
        <v>77</v>
      </c>
      <c r="G68" s="1287"/>
      <c r="H68" s="1287"/>
      <c r="I68" s="1287"/>
      <c r="J68" s="1287"/>
      <c r="K68" s="1287"/>
      <c r="L68" s="1293"/>
      <c r="M68" s="1289"/>
      <c r="N68" s="1289"/>
      <c r="O68" s="1289"/>
      <c r="P68" s="1970"/>
      <c r="Q68" s="286"/>
      <c r="R68" s="287"/>
      <c r="S68" s="1972" t="str">
        <f>INDEX(PT_DIFFERENTIATION_NUM_TER,MATCH(B68,PT_DIFFERENTIATION_TER_ID,0))</f>
        <v>1.3</v>
      </c>
      <c r="T68" s="1446" t="s">
        <v>605</v>
      </c>
      <c r="U68" s="235"/>
      <c r="V68" s="4027"/>
      <c r="W68" s="4028"/>
      <c r="X68" s="4028"/>
      <c r="Y68" s="4028"/>
      <c r="Z68" s="4028"/>
      <c r="AA68" s="4028"/>
      <c r="AB68" s="4028"/>
      <c r="AC68" s="4029"/>
      <c r="AD68" s="4027" t="str">
        <f>INDEX(PT_DIFFERENTIATION_TER,MATCH(B68,PT_DIFFERENTIATION_TER_ID,0))</f>
        <v>Территория 13</v>
      </c>
      <c r="AE68" s="4028"/>
      <c r="AF68" s="4028"/>
      <c r="AG68" s="4028"/>
      <c r="AH68" s="4028"/>
      <c r="AI68" s="4028"/>
      <c r="AJ68" s="4028"/>
      <c r="AK68" s="4028"/>
      <c r="AL68" s="4029"/>
      <c r="AM68" s="1182" t="s">
        <v>606</v>
      </c>
      <c r="AN68" s="1566"/>
      <c r="AO68" s="1548"/>
      <c r="AP68" s="1548" t="str">
        <f t="shared" si="1"/>
        <v>Территория действия тарифа</v>
      </c>
      <c r="AQ68" s="1548"/>
      <c r="AR68" s="1548"/>
      <c r="AS68" s="1559">
        <v>0</v>
      </c>
    </row>
    <row r="69" spans="1:45" s="1745" customFormat="1" ht="23.25" customHeight="1">
      <c r="A69" s="1287"/>
      <c r="B69" s="1287"/>
      <c r="C69" s="1287" t="s">
        <v>303</v>
      </c>
      <c r="D69" s="1287"/>
      <c r="E69" s="4034"/>
      <c r="F69" s="4034" t="s">
        <v>89</v>
      </c>
      <c r="G69" s="4033">
        <v>1</v>
      </c>
      <c r="H69" s="1287"/>
      <c r="I69" s="1287"/>
      <c r="J69" s="1287"/>
      <c r="K69" s="1287"/>
      <c r="L69" s="1293"/>
      <c r="M69" s="1289"/>
      <c r="N69" s="1289"/>
      <c r="O69" s="1289"/>
      <c r="P69" s="288"/>
      <c r="Q69" s="286"/>
      <c r="R69" s="287"/>
      <c r="S69" s="1972" t="str">
        <f>INDEX(PT_DIFFERENTIATION_NUM_CS,MATCH(C69,PT_DIFFERENTIATION_CS_ID,0))</f>
        <v>1.3.1</v>
      </c>
      <c r="T69" s="244" t="s">
        <v>607</v>
      </c>
      <c r="U69" s="235"/>
      <c r="V69" s="4027"/>
      <c r="W69" s="4028"/>
      <c r="X69" s="4028"/>
      <c r="Y69" s="4028"/>
      <c r="Z69" s="4028"/>
      <c r="AA69" s="4028"/>
      <c r="AB69" s="4028"/>
      <c r="AC69" s="4029"/>
      <c r="AD69" s="4027" t="str">
        <f>INDEX(PT_DIFFERENTIATION_CS,MATCH(C69,PT_DIFFERENTIATION_CS_ID,0))</f>
        <v>Гагаринский ТУ</v>
      </c>
      <c r="AE69" s="4028"/>
      <c r="AF69" s="4028"/>
      <c r="AG69" s="4028"/>
      <c r="AH69" s="4028"/>
      <c r="AI69" s="4028"/>
      <c r="AJ69" s="4028"/>
      <c r="AK69" s="4028"/>
      <c r="AL69" s="4029"/>
      <c r="AM69" s="1182" t="s">
        <v>608</v>
      </c>
      <c r="AN69" s="1566"/>
      <c r="AO69" s="1548"/>
      <c r="AP69" s="1548" t="str">
        <f t="shared" si="1"/>
        <v xml:space="preserve">Наименование системы теплоснабжения </v>
      </c>
      <c r="AQ69" s="1548"/>
      <c r="AR69" s="1548"/>
      <c r="AS69" s="1559">
        <v>0</v>
      </c>
    </row>
    <row r="70" spans="1:45" s="1745" customFormat="1" ht="21" customHeight="1">
      <c r="A70" s="1287"/>
      <c r="B70" s="1287"/>
      <c r="C70" s="1287"/>
      <c r="D70" s="1287" t="s">
        <v>304</v>
      </c>
      <c r="E70" s="4034"/>
      <c r="F70" s="4034" t="s">
        <v>89</v>
      </c>
      <c r="G70" s="4034"/>
      <c r="H70" s="4033">
        <v>1</v>
      </c>
      <c r="I70" s="1287"/>
      <c r="J70" s="1287"/>
      <c r="K70" s="1287"/>
      <c r="L70" s="1293"/>
      <c r="M70" s="1289"/>
      <c r="N70" s="1289"/>
      <c r="O70" s="1289"/>
      <c r="P70" s="288"/>
      <c r="Q70" s="286"/>
      <c r="R70" s="287"/>
      <c r="S70" s="1972" t="str">
        <f>INDEX(PT_DIFFERENTIATION_NUM_IST_TE,MATCH(D70,PT_DIFFERENTIATION_IST_TE_ID,0))</f>
        <v>1.3.1.1</v>
      </c>
      <c r="T70" s="245" t="s">
        <v>609</v>
      </c>
      <c r="U70" s="235"/>
      <c r="V70" s="4027"/>
      <c r="W70" s="4028"/>
      <c r="X70" s="4028"/>
      <c r="Y70" s="4028"/>
      <c r="Z70" s="4028"/>
      <c r="AA70" s="4028"/>
      <c r="AB70" s="4028"/>
      <c r="AC70" s="4029"/>
      <c r="AD70" s="4027" t="str">
        <f>INDEX(PT_DIFFERENTIATION_IST_TE,MATCH(D70,PT_DIFFERENTIATION_IST_TE_ID,0))</f>
        <v>без дифференциации</v>
      </c>
      <c r="AE70" s="4028"/>
      <c r="AF70" s="4028"/>
      <c r="AG70" s="4028"/>
      <c r="AH70" s="4028"/>
      <c r="AI70" s="4028"/>
      <c r="AJ70" s="4028"/>
      <c r="AK70" s="4028"/>
      <c r="AL70" s="4029"/>
      <c r="AM70" s="1182" t="s">
        <v>610</v>
      </c>
      <c r="AN70" s="1566"/>
      <c r="AO70" s="1548"/>
      <c r="AP70" s="1548" t="str">
        <f t="shared" si="1"/>
        <v xml:space="preserve">Источник тепловой энергии  </v>
      </c>
      <c r="AQ70" s="1548"/>
      <c r="AR70" s="1548"/>
      <c r="AS70" s="1559">
        <v>0</v>
      </c>
    </row>
    <row r="71" spans="1:45" s="1745" customFormat="1" ht="14.25" customHeight="1">
      <c r="A71" s="1287"/>
      <c r="B71" s="1287"/>
      <c r="C71" s="1287"/>
      <c r="D71" s="1287"/>
      <c r="E71" s="4034"/>
      <c r="F71" s="4034" t="s">
        <v>89</v>
      </c>
      <c r="G71" s="4034"/>
      <c r="H71" s="4034"/>
      <c r="I71" s="4035" t="str">
        <f>S70&amp;".1"</f>
        <v>1.3.1.1.1</v>
      </c>
      <c r="J71" s="1287"/>
      <c r="K71" s="1287"/>
      <c r="L71" s="1293" t="s">
        <v>611</v>
      </c>
      <c r="M71" s="1290"/>
      <c r="N71" s="1672"/>
      <c r="O71" s="1672"/>
      <c r="P71" s="4037">
        <v>1</v>
      </c>
      <c r="Q71" s="1974"/>
      <c r="R71" s="290"/>
      <c r="S71" s="1973"/>
      <c r="T71" s="1307"/>
      <c r="U71" s="1308"/>
      <c r="V71" s="4064"/>
      <c r="W71" s="4065"/>
      <c r="X71" s="4065"/>
      <c r="Y71" s="4065"/>
      <c r="Z71" s="4065"/>
      <c r="AA71" s="4065"/>
      <c r="AB71" s="4065"/>
      <c r="AC71" s="4066"/>
      <c r="AD71" s="4064"/>
      <c r="AE71" s="4065"/>
      <c r="AF71" s="4065"/>
      <c r="AG71" s="4065"/>
      <c r="AH71" s="4065"/>
      <c r="AI71" s="4065"/>
      <c r="AJ71" s="4065"/>
      <c r="AK71" s="4065"/>
      <c r="AL71" s="4066"/>
      <c r="AM71" s="1309"/>
      <c r="AN71" s="1566"/>
      <c r="AO71" s="1548"/>
      <c r="AP71" s="1548" t="str">
        <f t="shared" si="1"/>
        <v/>
      </c>
      <c r="AQ71" s="1548"/>
      <c r="AR71" s="1548"/>
      <c r="AS71" s="1559">
        <v>0</v>
      </c>
    </row>
    <row r="72" spans="1:45" s="1745" customFormat="1" ht="21" customHeight="1">
      <c r="A72" s="1287"/>
      <c r="B72" s="1287"/>
      <c r="C72" s="1287"/>
      <c r="D72" s="1287"/>
      <c r="E72" s="4034"/>
      <c r="F72" s="4034" t="s">
        <v>89</v>
      </c>
      <c r="G72" s="4034"/>
      <c r="H72" s="4034"/>
      <c r="I72" s="4036"/>
      <c r="J72" s="4035" t="str">
        <f>I71&amp;".1"</f>
        <v>1.3.1.1.1.1</v>
      </c>
      <c r="K72" s="1287"/>
      <c r="L72" s="1293" t="s">
        <v>614</v>
      </c>
      <c r="M72" s="1290"/>
      <c r="N72" s="1290"/>
      <c r="O72" s="1672"/>
      <c r="P72" s="4037"/>
      <c r="Q72" s="4037">
        <v>1</v>
      </c>
      <c r="R72" s="291"/>
      <c r="S72" s="1972" t="str">
        <f>$J72</f>
        <v>1.3.1.1.1.1</v>
      </c>
      <c r="T72" s="221" t="s">
        <v>615</v>
      </c>
      <c r="U72" s="235"/>
      <c r="V72" s="4021"/>
      <c r="W72" s="4022"/>
      <c r="X72" s="4022"/>
      <c r="Y72" s="4022"/>
      <c r="Z72" s="4022"/>
      <c r="AA72" s="4022"/>
      <c r="AB72" s="4022"/>
      <c r="AC72" s="4023"/>
      <c r="AD72" s="4021" t="s">
        <v>654</v>
      </c>
      <c r="AE72" s="4022"/>
      <c r="AF72" s="4022"/>
      <c r="AG72" s="4022"/>
      <c r="AH72" s="4022"/>
      <c r="AI72" s="4022"/>
      <c r="AJ72" s="4022"/>
      <c r="AK72" s="4022"/>
      <c r="AL72" s="4023"/>
      <c r="AM72" s="1182" t="s">
        <v>616</v>
      </c>
      <c r="AN72" s="1566"/>
      <c r="AO72" s="1548"/>
      <c r="AP72" s="1548" t="str">
        <f t="shared" si="1"/>
        <v>Группа потребителей</v>
      </c>
      <c r="AQ72" s="1548"/>
      <c r="AR72" s="1548"/>
      <c r="AS72" s="1559">
        <v>0</v>
      </c>
    </row>
    <row r="73" spans="1:45" s="1745" customFormat="1" ht="21" customHeight="1">
      <c r="A73" s="1287"/>
      <c r="B73" s="1287"/>
      <c r="C73" s="1287"/>
      <c r="D73" s="1287"/>
      <c r="E73" s="4034"/>
      <c r="F73" s="4034" t="s">
        <v>89</v>
      </c>
      <c r="G73" s="4034"/>
      <c r="H73" s="4034"/>
      <c r="I73" s="4036"/>
      <c r="J73" s="4036"/>
      <c r="K73" s="4035" t="str">
        <f>J72&amp;".1"</f>
        <v>1.3.1.1.1.1.1</v>
      </c>
      <c r="L73" s="1293" t="s">
        <v>617</v>
      </c>
      <c r="M73" s="1290"/>
      <c r="N73" s="1290"/>
      <c r="O73" s="1290"/>
      <c r="P73" s="4037"/>
      <c r="Q73" s="4037"/>
      <c r="R73" s="291">
        <v>1</v>
      </c>
      <c r="S73" s="1972" t="str">
        <f>$K73</f>
        <v>1.3.1.1.1.1.1</v>
      </c>
      <c r="T73" s="1271" t="s">
        <v>656</v>
      </c>
      <c r="U73" s="235"/>
      <c r="V73" s="685"/>
      <c r="W73" s="260"/>
      <c r="X73" s="685"/>
      <c r="Y73" s="1181"/>
      <c r="Z73" s="4038"/>
      <c r="AA73" s="3899" t="s">
        <v>53</v>
      </c>
      <c r="AB73" s="4038"/>
      <c r="AC73" s="3899" t="s">
        <v>53</v>
      </c>
      <c r="AD73" s="685">
        <v>145.01</v>
      </c>
      <c r="AE73" s="260"/>
      <c r="AF73" s="685"/>
      <c r="AG73" s="1181"/>
      <c r="AH73" s="4038">
        <v>46023.697083333333</v>
      </c>
      <c r="AI73" s="3899" t="s">
        <v>53</v>
      </c>
      <c r="AJ73" s="4038">
        <v>46387.697233796294</v>
      </c>
      <c r="AK73" s="3899" t="s">
        <v>53</v>
      </c>
      <c r="AL73" s="260"/>
      <c r="AM73" s="4056" t="s">
        <v>618</v>
      </c>
      <c r="AN73" s="1566" t="e">
        <f ca="1">STRCHECKDATE(V74:AL74)</f>
        <v>#NAME?</v>
      </c>
      <c r="AO73" s="1548"/>
      <c r="AP73" s="1548" t="str">
        <f t="shared" si="1"/>
        <v>вода</v>
      </c>
      <c r="AQ73" s="1548"/>
      <c r="AR73" s="1548"/>
      <c r="AS73" s="1559">
        <v>0</v>
      </c>
    </row>
    <row r="74" spans="1:45" s="1745" customFormat="1" ht="0.75" customHeight="1">
      <c r="A74" s="1287"/>
      <c r="B74" s="1287"/>
      <c r="C74" s="1287"/>
      <c r="D74" s="1287"/>
      <c r="E74" s="4034"/>
      <c r="F74" s="4034" t="s">
        <v>89</v>
      </c>
      <c r="G74" s="4034"/>
      <c r="H74" s="4034"/>
      <c r="I74" s="4036"/>
      <c r="J74" s="4036"/>
      <c r="K74" s="4035"/>
      <c r="L74" s="1293"/>
      <c r="M74" s="1290"/>
      <c r="N74" s="1290"/>
      <c r="O74" s="1290"/>
      <c r="P74" s="4037"/>
      <c r="Q74" s="4037"/>
      <c r="R74" s="291"/>
      <c r="S74" s="1978"/>
      <c r="T74" s="235"/>
      <c r="U74" s="235"/>
      <c r="V74" s="260"/>
      <c r="W74" s="260"/>
      <c r="X74" s="260"/>
      <c r="Y74" s="263" t="str">
        <f>Z73&amp;"-"&amp;AB73</f>
        <v>-</v>
      </c>
      <c r="Z74" s="4039"/>
      <c r="AA74" s="3899"/>
      <c r="AB74" s="4039"/>
      <c r="AC74" s="3899"/>
      <c r="AD74" s="260"/>
      <c r="AE74" s="260"/>
      <c r="AF74" s="260"/>
      <c r="AG74" s="263" t="str">
        <f>AH73&amp;"-"&amp;AJ73</f>
        <v>46023,6970833333-46387,6972337963</v>
      </c>
      <c r="AH74" s="4039"/>
      <c r="AI74" s="3899"/>
      <c r="AJ74" s="4039"/>
      <c r="AK74" s="3899"/>
      <c r="AL74" s="260"/>
      <c r="AM74" s="4057"/>
      <c r="AN74" s="1566"/>
      <c r="AO74" s="1548"/>
      <c r="AP74" s="1548" t="str">
        <f t="shared" si="1"/>
        <v/>
      </c>
      <c r="AQ74" s="1548"/>
      <c r="AR74" s="1548"/>
      <c r="AS74" s="1559">
        <v>0</v>
      </c>
    </row>
    <row r="75" spans="1:45" s="1745" customFormat="1" ht="15" customHeight="1">
      <c r="A75" s="1287"/>
      <c r="B75" s="1287"/>
      <c r="C75" s="1287"/>
      <c r="D75" s="1287"/>
      <c r="E75" s="4034"/>
      <c r="F75" s="4034" t="s">
        <v>89</v>
      </c>
      <c r="G75" s="4034"/>
      <c r="H75" s="4034"/>
      <c r="I75" s="4036"/>
      <c r="J75" s="4035"/>
      <c r="K75" s="1287"/>
      <c r="L75" s="1293"/>
      <c r="M75" s="1290"/>
      <c r="N75" s="1290"/>
      <c r="O75" s="1672"/>
      <c r="P75" s="4037"/>
      <c r="Q75" s="4037"/>
      <c r="R75" s="290"/>
      <c r="S75" s="2962"/>
      <c r="T75" s="2963" t="s">
        <v>619</v>
      </c>
      <c r="U75" s="2964"/>
      <c r="V75" s="2965"/>
      <c r="W75" s="2966"/>
      <c r="X75" s="2967"/>
      <c r="Y75" s="2968"/>
      <c r="Z75" s="2969"/>
      <c r="AA75" s="2970"/>
      <c r="AB75" s="2971"/>
      <c r="AC75" s="2972"/>
      <c r="AD75" s="2973"/>
      <c r="AE75" s="2974"/>
      <c r="AF75" s="2975"/>
      <c r="AG75" s="2976"/>
      <c r="AH75" s="2977"/>
      <c r="AI75" s="2978"/>
      <c r="AJ75" s="2979"/>
      <c r="AK75" s="2980"/>
      <c r="AL75" s="2981"/>
      <c r="AM75" s="4058"/>
      <c r="AN75" s="1566"/>
      <c r="AO75" s="1548"/>
      <c r="AP75" s="1548" t="str">
        <f t="shared" si="1"/>
        <v>Добавить вид теплоносителя (параметры теплоносителя)</v>
      </c>
      <c r="AQ75" s="1548"/>
      <c r="AR75" s="1548"/>
      <c r="AS75" s="1559">
        <v>0</v>
      </c>
    </row>
    <row r="76" spans="1:45" s="1745" customFormat="1" ht="15" customHeight="1">
      <c r="A76" s="1287"/>
      <c r="B76" s="1287"/>
      <c r="C76" s="1287"/>
      <c r="D76" s="1287"/>
      <c r="E76" s="4034"/>
      <c r="F76" s="4034" t="s">
        <v>89</v>
      </c>
      <c r="G76" s="4034"/>
      <c r="H76" s="4034"/>
      <c r="I76" s="4035"/>
      <c r="J76" s="1287"/>
      <c r="K76" s="1287"/>
      <c r="L76" s="1293"/>
      <c r="M76" s="1290"/>
      <c r="N76" s="1672"/>
      <c r="O76" s="1672"/>
      <c r="P76" s="4037"/>
      <c r="Q76" s="1974"/>
      <c r="R76" s="290"/>
      <c r="S76" s="2982"/>
      <c r="T76" s="2983" t="s">
        <v>620</v>
      </c>
      <c r="U76" s="2984"/>
      <c r="V76" s="2985"/>
      <c r="W76" s="2986"/>
      <c r="X76" s="2987"/>
      <c r="Y76" s="2988"/>
      <c r="Z76" s="2989"/>
      <c r="AA76" s="2990"/>
      <c r="AB76" s="2991"/>
      <c r="AC76" s="2992"/>
      <c r="AD76" s="2993"/>
      <c r="AE76" s="2994"/>
      <c r="AF76" s="2995"/>
      <c r="AG76" s="2996"/>
      <c r="AH76" s="2997"/>
      <c r="AI76" s="2998"/>
      <c r="AJ76" s="2999"/>
      <c r="AK76" s="3000"/>
      <c r="AL76" s="3001"/>
      <c r="AM76" s="3002"/>
      <c r="AN76" s="1566"/>
      <c r="AO76" s="1548"/>
      <c r="AP76" s="1548" t="str">
        <f t="shared" si="1"/>
        <v>Добавить группу потребителей</v>
      </c>
      <c r="AQ76" s="1548"/>
      <c r="AR76" s="1548"/>
      <c r="AS76" s="1559">
        <v>0</v>
      </c>
    </row>
    <row r="77" spans="1:45" s="1745" customFormat="1" ht="14.25" customHeight="1">
      <c r="A77" s="1287"/>
      <c r="B77" s="1287"/>
      <c r="C77" s="1287"/>
      <c r="D77" s="1287"/>
      <c r="E77" s="4034"/>
      <c r="F77" s="4034" t="s">
        <v>89</v>
      </c>
      <c r="G77" s="4034"/>
      <c r="H77" s="4033"/>
      <c r="I77" s="1287"/>
      <c r="J77" s="1287"/>
      <c r="K77" s="1287"/>
      <c r="L77" s="1293"/>
      <c r="M77" s="1289"/>
      <c r="N77" s="1289"/>
      <c r="O77" s="1290"/>
      <c r="P77" s="1718"/>
      <c r="Q77" s="309"/>
      <c r="R77" s="289"/>
      <c r="S77" s="1310"/>
      <c r="T77" s="1311"/>
      <c r="U77" s="1312"/>
      <c r="V77" s="1312"/>
      <c r="W77" s="1312"/>
      <c r="X77" s="1312"/>
      <c r="Y77" s="1312"/>
      <c r="Z77" s="1312"/>
      <c r="AA77" s="1312"/>
      <c r="AB77" s="1312"/>
      <c r="AC77" s="1312"/>
      <c r="AD77" s="1312"/>
      <c r="AE77" s="1312"/>
      <c r="AF77" s="1312"/>
      <c r="AG77" s="1312"/>
      <c r="AH77" s="1312"/>
      <c r="AI77" s="1312"/>
      <c r="AJ77" s="1312"/>
      <c r="AK77" s="1312"/>
      <c r="AL77" s="1312"/>
      <c r="AM77" s="1313"/>
      <c r="AN77" s="1566"/>
      <c r="AO77" s="1548"/>
      <c r="AP77" s="1548" t="str">
        <f t="shared" si="1"/>
        <v/>
      </c>
      <c r="AQ77" s="1548"/>
      <c r="AR77" s="1548"/>
      <c r="AS77" s="1559">
        <v>0</v>
      </c>
    </row>
    <row r="78" spans="1:45" s="556" customFormat="1" ht="0.75" customHeight="1">
      <c r="A78" s="1267"/>
      <c r="B78" s="1267"/>
      <c r="C78" s="1267"/>
      <c r="D78" s="1267"/>
      <c r="E78" s="4034"/>
      <c r="F78" s="4034" t="s">
        <v>89</v>
      </c>
      <c r="G78" s="4033"/>
      <c r="H78" s="1267"/>
      <c r="I78" s="1267"/>
      <c r="J78" s="1267"/>
      <c r="K78" s="1267"/>
      <c r="L78" s="1469"/>
      <c r="M78" s="1239"/>
      <c r="N78" s="1239"/>
      <c r="O78" s="1566"/>
      <c r="P78" s="1240"/>
      <c r="Q78" s="1268"/>
      <c r="R78" s="1240"/>
      <c r="S78" s="1242"/>
      <c r="T78" s="1243" t="s">
        <v>235</v>
      </c>
      <c r="U78" s="1244"/>
      <c r="V78" s="1244"/>
      <c r="W78" s="1244"/>
      <c r="X78" s="1244"/>
      <c r="Y78" s="1244"/>
      <c r="Z78" s="1244"/>
      <c r="AA78" s="1244"/>
      <c r="AB78" s="1244"/>
      <c r="AC78" s="1244"/>
      <c r="AD78" s="1244"/>
      <c r="AE78" s="1244"/>
      <c r="AF78" s="1244"/>
      <c r="AG78" s="1244"/>
      <c r="AH78" s="1244"/>
      <c r="AI78" s="1244"/>
      <c r="AJ78" s="1244"/>
      <c r="AK78" s="1244"/>
      <c r="AL78" s="1244"/>
      <c r="AM78" s="1244"/>
      <c r="AN78" s="1566"/>
      <c r="AO78" s="1548"/>
      <c r="AP78" s="1548" t="str">
        <f t="shared" si="1"/>
        <v>Добавить источник для дифференциации</v>
      </c>
      <c r="AQ78" s="1548"/>
      <c r="AR78" s="1548"/>
      <c r="AS78" s="1566">
        <v>0</v>
      </c>
    </row>
    <row r="79" spans="1:45" s="556" customFormat="1" ht="0.75" customHeight="1">
      <c r="A79" s="1267"/>
      <c r="B79" s="1267"/>
      <c r="C79" s="1267"/>
      <c r="D79" s="1267"/>
      <c r="E79" s="4034"/>
      <c r="F79" s="4033" t="s">
        <v>89</v>
      </c>
      <c r="G79" s="1267"/>
      <c r="H79" s="1267"/>
      <c r="I79" s="1267"/>
      <c r="J79" s="1267"/>
      <c r="K79" s="1267"/>
      <c r="L79" s="1469"/>
      <c r="M79" s="1245"/>
      <c r="N79" s="1245"/>
      <c r="O79" s="1566"/>
      <c r="P79" s="1240"/>
      <c r="Q79" s="1268"/>
      <c r="R79" s="1240"/>
      <c r="S79" s="1246"/>
      <c r="T79" s="1247" t="s">
        <v>236</v>
      </c>
      <c r="U79" s="1248"/>
      <c r="V79" s="1248"/>
      <c r="W79" s="1248"/>
      <c r="X79" s="1248"/>
      <c r="Y79" s="1248"/>
      <c r="Z79" s="1248"/>
      <c r="AA79" s="1248"/>
      <c r="AB79" s="1248"/>
      <c r="AC79" s="1248"/>
      <c r="AD79" s="1248"/>
      <c r="AE79" s="1248"/>
      <c r="AF79" s="1248"/>
      <c r="AG79" s="1248"/>
      <c r="AH79" s="1248"/>
      <c r="AI79" s="1248"/>
      <c r="AJ79" s="1248"/>
      <c r="AK79" s="1248"/>
      <c r="AL79" s="1248"/>
      <c r="AM79" s="1248"/>
      <c r="AN79" s="1566"/>
      <c r="AO79" s="1548"/>
      <c r="AP79" s="1548" t="str">
        <f t="shared" si="1"/>
        <v>Добавить централизованную систему для дифференциации</v>
      </c>
      <c r="AQ79" s="1548"/>
      <c r="AR79" s="1548"/>
      <c r="AS79" s="1566">
        <v>0</v>
      </c>
    </row>
    <row r="80" spans="1:45" s="1745" customFormat="1" ht="21" customHeight="1">
      <c r="A80" s="1287"/>
      <c r="B80" s="1287" t="s">
        <v>306</v>
      </c>
      <c r="C80" s="1287"/>
      <c r="D80" s="1287"/>
      <c r="E80" s="4034"/>
      <c r="F80" s="4033" t="s">
        <v>78</v>
      </c>
      <c r="G80" s="1287"/>
      <c r="H80" s="1287"/>
      <c r="I80" s="1287"/>
      <c r="J80" s="1287"/>
      <c r="K80" s="1287"/>
      <c r="L80" s="1293"/>
      <c r="M80" s="1289"/>
      <c r="N80" s="1289"/>
      <c r="O80" s="1289"/>
      <c r="P80" s="1970"/>
      <c r="Q80" s="286"/>
      <c r="R80" s="287"/>
      <c r="S80" s="1972" t="str">
        <f>INDEX(PT_DIFFERENTIATION_NUM_TER,MATCH(B80,PT_DIFFERENTIATION_TER_ID,0))</f>
        <v>1.4</v>
      </c>
      <c r="T80" s="1446" t="s">
        <v>605</v>
      </c>
      <c r="U80" s="235"/>
      <c r="V80" s="4027"/>
      <c r="W80" s="4028"/>
      <c r="X80" s="4028"/>
      <c r="Y80" s="4028"/>
      <c r="Z80" s="4028"/>
      <c r="AA80" s="4028"/>
      <c r="AB80" s="4028"/>
      <c r="AC80" s="4029"/>
      <c r="AD80" s="4027" t="str">
        <f>INDEX(PT_DIFFERENTIATION_TER,MATCH(B80,PT_DIFFERENTIATION_TER_ID,0))</f>
        <v>Территория 14</v>
      </c>
      <c r="AE80" s="4028"/>
      <c r="AF80" s="4028"/>
      <c r="AG80" s="4028"/>
      <c r="AH80" s="4028"/>
      <c r="AI80" s="4028"/>
      <c r="AJ80" s="4028"/>
      <c r="AK80" s="4028"/>
      <c r="AL80" s="4029"/>
      <c r="AM80" s="1182" t="s">
        <v>606</v>
      </c>
      <c r="AN80" s="1566"/>
      <c r="AO80" s="1548"/>
      <c r="AP80" s="1548" t="str">
        <f t="shared" si="1"/>
        <v>Территория действия тарифа</v>
      </c>
      <c r="AQ80" s="1548"/>
      <c r="AR80" s="1548"/>
      <c r="AS80" s="1559">
        <v>0</v>
      </c>
    </row>
    <row r="81" spans="1:45" s="1745" customFormat="1" ht="23.25" customHeight="1">
      <c r="A81" s="1287"/>
      <c r="B81" s="1287"/>
      <c r="C81" s="1287" t="s">
        <v>307</v>
      </c>
      <c r="D81" s="1287"/>
      <c r="E81" s="4034"/>
      <c r="F81" s="4034" t="s">
        <v>77</v>
      </c>
      <c r="G81" s="4033">
        <v>1</v>
      </c>
      <c r="H81" s="1287"/>
      <c r="I81" s="1287"/>
      <c r="J81" s="1287"/>
      <c r="K81" s="1287"/>
      <c r="L81" s="1293"/>
      <c r="M81" s="1289"/>
      <c r="N81" s="1289"/>
      <c r="O81" s="1289"/>
      <c r="P81" s="288"/>
      <c r="Q81" s="286"/>
      <c r="R81" s="287"/>
      <c r="S81" s="1972" t="str">
        <f>INDEX(PT_DIFFERENTIATION_NUM_CS,MATCH(C81,PT_DIFFERENTIATION_CS_ID,0))</f>
        <v>1.4.1</v>
      </c>
      <c r="T81" s="244" t="s">
        <v>607</v>
      </c>
      <c r="U81" s="235"/>
      <c r="V81" s="4027"/>
      <c r="W81" s="4028"/>
      <c r="X81" s="4028"/>
      <c r="Y81" s="4028"/>
      <c r="Z81" s="4028"/>
      <c r="AA81" s="4028"/>
      <c r="AB81" s="4028"/>
      <c r="AC81" s="4029"/>
      <c r="AD81" s="4027" t="str">
        <f>INDEX(PT_DIFFERENTIATION_CS,MATCH(C81,PT_DIFFERENTIATION_CS_ID,0))</f>
        <v>Новодугинский ТУ</v>
      </c>
      <c r="AE81" s="4028"/>
      <c r="AF81" s="4028"/>
      <c r="AG81" s="4028"/>
      <c r="AH81" s="4028"/>
      <c r="AI81" s="4028"/>
      <c r="AJ81" s="4028"/>
      <c r="AK81" s="4028"/>
      <c r="AL81" s="4029"/>
      <c r="AM81" s="1182" t="s">
        <v>608</v>
      </c>
      <c r="AN81" s="1566"/>
      <c r="AO81" s="1548"/>
      <c r="AP81" s="1548" t="str">
        <f t="shared" si="1"/>
        <v xml:space="preserve">Наименование системы теплоснабжения </v>
      </c>
      <c r="AQ81" s="1548"/>
      <c r="AR81" s="1548"/>
      <c r="AS81" s="1559">
        <v>0</v>
      </c>
    </row>
    <row r="82" spans="1:45" s="1745" customFormat="1" ht="21" customHeight="1">
      <c r="A82" s="1287"/>
      <c r="B82" s="1287"/>
      <c r="C82" s="1287"/>
      <c r="D82" s="1287" t="s">
        <v>308</v>
      </c>
      <c r="E82" s="4034"/>
      <c r="F82" s="4034" t="s">
        <v>77</v>
      </c>
      <c r="G82" s="4034"/>
      <c r="H82" s="4033">
        <v>1</v>
      </c>
      <c r="I82" s="1287"/>
      <c r="J82" s="1287"/>
      <c r="K82" s="1287"/>
      <c r="L82" s="1293"/>
      <c r="M82" s="1289"/>
      <c r="N82" s="1289"/>
      <c r="O82" s="1289"/>
      <c r="P82" s="288"/>
      <c r="Q82" s="286"/>
      <c r="R82" s="287"/>
      <c r="S82" s="1972" t="str">
        <f>INDEX(PT_DIFFERENTIATION_NUM_IST_TE,MATCH(D82,PT_DIFFERENTIATION_IST_TE_ID,0))</f>
        <v>1.4.1.1</v>
      </c>
      <c r="T82" s="245" t="s">
        <v>609</v>
      </c>
      <c r="U82" s="235"/>
      <c r="V82" s="4027"/>
      <c r="W82" s="4028"/>
      <c r="X82" s="4028"/>
      <c r="Y82" s="4028"/>
      <c r="Z82" s="4028"/>
      <c r="AA82" s="4028"/>
      <c r="AB82" s="4028"/>
      <c r="AC82" s="4029"/>
      <c r="AD82" s="4027" t="str">
        <f>INDEX(PT_DIFFERENTIATION_IST_TE,MATCH(D82,PT_DIFFERENTIATION_IST_TE_ID,0))</f>
        <v>без дифференциации</v>
      </c>
      <c r="AE82" s="4028"/>
      <c r="AF82" s="4028"/>
      <c r="AG82" s="4028"/>
      <c r="AH82" s="4028"/>
      <c r="AI82" s="4028"/>
      <c r="AJ82" s="4028"/>
      <c r="AK82" s="4028"/>
      <c r="AL82" s="4029"/>
      <c r="AM82" s="1182" t="s">
        <v>610</v>
      </c>
      <c r="AN82" s="1566"/>
      <c r="AO82" s="1548"/>
      <c r="AP82" s="1548" t="str">
        <f t="shared" si="1"/>
        <v xml:space="preserve">Источник тепловой энергии  </v>
      </c>
      <c r="AQ82" s="1548"/>
      <c r="AR82" s="1548"/>
      <c r="AS82" s="1559">
        <v>0</v>
      </c>
    </row>
    <row r="83" spans="1:45" s="1745" customFormat="1" ht="14.25" customHeight="1">
      <c r="A83" s="1287"/>
      <c r="B83" s="1287"/>
      <c r="C83" s="1287"/>
      <c r="D83" s="1287"/>
      <c r="E83" s="4034"/>
      <c r="F83" s="4034" t="s">
        <v>77</v>
      </c>
      <c r="G83" s="4034"/>
      <c r="H83" s="4034"/>
      <c r="I83" s="4035" t="str">
        <f>S82&amp;".1"</f>
        <v>1.4.1.1.1</v>
      </c>
      <c r="J83" s="1287"/>
      <c r="K83" s="1287"/>
      <c r="L83" s="1293" t="s">
        <v>611</v>
      </c>
      <c r="M83" s="1290"/>
      <c r="N83" s="1672"/>
      <c r="O83" s="1672"/>
      <c r="P83" s="4037">
        <v>1</v>
      </c>
      <c r="Q83" s="1974"/>
      <c r="R83" s="290"/>
      <c r="S83" s="1973"/>
      <c r="T83" s="1307"/>
      <c r="U83" s="1308"/>
      <c r="V83" s="4064"/>
      <c r="W83" s="4065"/>
      <c r="X83" s="4065"/>
      <c r="Y83" s="4065"/>
      <c r="Z83" s="4065"/>
      <c r="AA83" s="4065"/>
      <c r="AB83" s="4065"/>
      <c r="AC83" s="4066"/>
      <c r="AD83" s="4064"/>
      <c r="AE83" s="4065"/>
      <c r="AF83" s="4065"/>
      <c r="AG83" s="4065"/>
      <c r="AH83" s="4065"/>
      <c r="AI83" s="4065"/>
      <c r="AJ83" s="4065"/>
      <c r="AK83" s="4065"/>
      <c r="AL83" s="4066"/>
      <c r="AM83" s="1309"/>
      <c r="AN83" s="1566"/>
      <c r="AO83" s="1548"/>
      <c r="AP83" s="1548" t="str">
        <f t="shared" si="1"/>
        <v/>
      </c>
      <c r="AQ83" s="1548"/>
      <c r="AR83" s="1548"/>
      <c r="AS83" s="1559">
        <v>0</v>
      </c>
    </row>
    <row r="84" spans="1:45" s="1745" customFormat="1" ht="21" customHeight="1">
      <c r="A84" s="1287"/>
      <c r="B84" s="1287"/>
      <c r="C84" s="1287"/>
      <c r="D84" s="1287"/>
      <c r="E84" s="4034"/>
      <c r="F84" s="4034" t="s">
        <v>77</v>
      </c>
      <c r="G84" s="4034"/>
      <c r="H84" s="4034"/>
      <c r="I84" s="4036"/>
      <c r="J84" s="4035" t="str">
        <f>I83&amp;".1"</f>
        <v>1.4.1.1.1.1</v>
      </c>
      <c r="K84" s="1287"/>
      <c r="L84" s="1293" t="s">
        <v>614</v>
      </c>
      <c r="M84" s="1290"/>
      <c r="N84" s="1290"/>
      <c r="O84" s="1672"/>
      <c r="P84" s="4037"/>
      <c r="Q84" s="4037">
        <v>1</v>
      </c>
      <c r="R84" s="291"/>
      <c r="S84" s="1972" t="str">
        <f>$J84</f>
        <v>1.4.1.1.1.1</v>
      </c>
      <c r="T84" s="221" t="s">
        <v>615</v>
      </c>
      <c r="U84" s="235"/>
      <c r="V84" s="4021"/>
      <c r="W84" s="4022"/>
      <c r="X84" s="4022"/>
      <c r="Y84" s="4022"/>
      <c r="Z84" s="4022"/>
      <c r="AA84" s="4022"/>
      <c r="AB84" s="4022"/>
      <c r="AC84" s="4023"/>
      <c r="AD84" s="4021" t="s">
        <v>654</v>
      </c>
      <c r="AE84" s="4022"/>
      <c r="AF84" s="4022"/>
      <c r="AG84" s="4022"/>
      <c r="AH84" s="4022"/>
      <c r="AI84" s="4022"/>
      <c r="AJ84" s="4022"/>
      <c r="AK84" s="4022"/>
      <c r="AL84" s="4023"/>
      <c r="AM84" s="1182" t="s">
        <v>616</v>
      </c>
      <c r="AN84" s="1566"/>
      <c r="AO84" s="1548"/>
      <c r="AP84" s="1548" t="str">
        <f t="shared" si="1"/>
        <v>Группа потребителей</v>
      </c>
      <c r="AQ84" s="1548"/>
      <c r="AR84" s="1548"/>
      <c r="AS84" s="1559">
        <v>0</v>
      </c>
    </row>
    <row r="85" spans="1:45" s="1745" customFormat="1" ht="21" customHeight="1">
      <c r="A85" s="1287"/>
      <c r="B85" s="1287"/>
      <c r="C85" s="1287"/>
      <c r="D85" s="1287"/>
      <c r="E85" s="4034"/>
      <c r="F85" s="4034" t="s">
        <v>77</v>
      </c>
      <c r="G85" s="4034"/>
      <c r="H85" s="4034"/>
      <c r="I85" s="4036"/>
      <c r="J85" s="4036"/>
      <c r="K85" s="4035" t="str">
        <f>J84&amp;".1"</f>
        <v>1.4.1.1.1.1.1</v>
      </c>
      <c r="L85" s="1293" t="s">
        <v>617</v>
      </c>
      <c r="M85" s="1290"/>
      <c r="N85" s="1290"/>
      <c r="O85" s="1290"/>
      <c r="P85" s="4037"/>
      <c r="Q85" s="4037"/>
      <c r="R85" s="291">
        <v>1</v>
      </c>
      <c r="S85" s="1972" t="str">
        <f>$K85</f>
        <v>1.4.1.1.1.1.1</v>
      </c>
      <c r="T85" s="1271" t="s">
        <v>656</v>
      </c>
      <c r="U85" s="235"/>
      <c r="V85" s="685"/>
      <c r="W85" s="260"/>
      <c r="X85" s="685"/>
      <c r="Y85" s="1181"/>
      <c r="Z85" s="4038"/>
      <c r="AA85" s="3899" t="s">
        <v>53</v>
      </c>
      <c r="AB85" s="4038"/>
      <c r="AC85" s="3899" t="s">
        <v>53</v>
      </c>
      <c r="AD85" s="685">
        <v>297.45999999999998</v>
      </c>
      <c r="AE85" s="260"/>
      <c r="AF85" s="685"/>
      <c r="AG85" s="1181"/>
      <c r="AH85" s="4038">
        <v>46023.698020833333</v>
      </c>
      <c r="AI85" s="3899" t="s">
        <v>53</v>
      </c>
      <c r="AJ85" s="4038">
        <v>46387.698171296295</v>
      </c>
      <c r="AK85" s="3899" t="s">
        <v>53</v>
      </c>
      <c r="AL85" s="260"/>
      <c r="AM85" s="4056" t="s">
        <v>618</v>
      </c>
      <c r="AN85" s="1566" t="e">
        <f ca="1">STRCHECKDATE(V86:AL86)</f>
        <v>#NAME?</v>
      </c>
      <c r="AO85" s="1548"/>
      <c r="AP85" s="1548" t="str">
        <f t="shared" si="1"/>
        <v>вода</v>
      </c>
      <c r="AQ85" s="1548"/>
      <c r="AR85" s="1548"/>
      <c r="AS85" s="1559">
        <v>0</v>
      </c>
    </row>
    <row r="86" spans="1:45" s="1745" customFormat="1" ht="0.75" customHeight="1">
      <c r="A86" s="1287"/>
      <c r="B86" s="1287"/>
      <c r="C86" s="1287"/>
      <c r="D86" s="1287"/>
      <c r="E86" s="4034"/>
      <c r="F86" s="4034" t="s">
        <v>77</v>
      </c>
      <c r="G86" s="4034"/>
      <c r="H86" s="4034"/>
      <c r="I86" s="4036"/>
      <c r="J86" s="4036"/>
      <c r="K86" s="4035"/>
      <c r="L86" s="1293"/>
      <c r="M86" s="1290"/>
      <c r="N86" s="1290"/>
      <c r="O86" s="1290"/>
      <c r="P86" s="4037"/>
      <c r="Q86" s="4037"/>
      <c r="R86" s="291"/>
      <c r="S86" s="1978"/>
      <c r="T86" s="235"/>
      <c r="U86" s="235"/>
      <c r="V86" s="260"/>
      <c r="W86" s="260"/>
      <c r="X86" s="260"/>
      <c r="Y86" s="263" t="str">
        <f>Z85&amp;"-"&amp;AB85</f>
        <v>-</v>
      </c>
      <c r="Z86" s="4039"/>
      <c r="AA86" s="3899"/>
      <c r="AB86" s="4039"/>
      <c r="AC86" s="3899"/>
      <c r="AD86" s="260"/>
      <c r="AE86" s="260"/>
      <c r="AF86" s="260"/>
      <c r="AG86" s="263" t="str">
        <f>AH85&amp;"-"&amp;AJ85</f>
        <v>46023,6980208333-46387,6981712963</v>
      </c>
      <c r="AH86" s="4039"/>
      <c r="AI86" s="3899"/>
      <c r="AJ86" s="4039"/>
      <c r="AK86" s="3899"/>
      <c r="AL86" s="260"/>
      <c r="AM86" s="4057"/>
      <c r="AN86" s="1566"/>
      <c r="AO86" s="1548"/>
      <c r="AP86" s="1548" t="str">
        <f t="shared" si="1"/>
        <v/>
      </c>
      <c r="AQ86" s="1548"/>
      <c r="AR86" s="1548"/>
      <c r="AS86" s="1559">
        <v>0</v>
      </c>
    </row>
    <row r="87" spans="1:45" s="1745" customFormat="1" ht="15" customHeight="1">
      <c r="A87" s="1287"/>
      <c r="B87" s="1287"/>
      <c r="C87" s="1287"/>
      <c r="D87" s="1287"/>
      <c r="E87" s="4034"/>
      <c r="F87" s="4034" t="s">
        <v>77</v>
      </c>
      <c r="G87" s="4034"/>
      <c r="H87" s="4034"/>
      <c r="I87" s="4036"/>
      <c r="J87" s="4035"/>
      <c r="K87" s="1287"/>
      <c r="L87" s="1293"/>
      <c r="M87" s="1290"/>
      <c r="N87" s="1290"/>
      <c r="O87" s="1672"/>
      <c r="P87" s="4037"/>
      <c r="Q87" s="4037"/>
      <c r="R87" s="290"/>
      <c r="S87" s="3003"/>
      <c r="T87" s="3004" t="s">
        <v>619</v>
      </c>
      <c r="U87" s="3005"/>
      <c r="V87" s="3006"/>
      <c r="W87" s="3007"/>
      <c r="X87" s="3008"/>
      <c r="Y87" s="3009"/>
      <c r="Z87" s="3010"/>
      <c r="AA87" s="3011"/>
      <c r="AB87" s="3012"/>
      <c r="AC87" s="3013"/>
      <c r="AD87" s="3014"/>
      <c r="AE87" s="3015"/>
      <c r="AF87" s="3016"/>
      <c r="AG87" s="3017"/>
      <c r="AH87" s="3018"/>
      <c r="AI87" s="3019"/>
      <c r="AJ87" s="3020"/>
      <c r="AK87" s="3021"/>
      <c r="AL87" s="3022"/>
      <c r="AM87" s="4058"/>
      <c r="AN87" s="1566"/>
      <c r="AO87" s="1548"/>
      <c r="AP87" s="1548" t="str">
        <f t="shared" si="1"/>
        <v>Добавить вид теплоносителя (параметры теплоносителя)</v>
      </c>
      <c r="AQ87" s="1548"/>
      <c r="AR87" s="1548"/>
      <c r="AS87" s="1559">
        <v>0</v>
      </c>
    </row>
    <row r="88" spans="1:45" s="1745" customFormat="1" ht="15" customHeight="1">
      <c r="A88" s="1287"/>
      <c r="B88" s="1287"/>
      <c r="C88" s="1287"/>
      <c r="D88" s="1287"/>
      <c r="E88" s="4034"/>
      <c r="F88" s="4034" t="s">
        <v>77</v>
      </c>
      <c r="G88" s="4034"/>
      <c r="H88" s="4034"/>
      <c r="I88" s="4035"/>
      <c r="J88" s="1287"/>
      <c r="K88" s="1287"/>
      <c r="L88" s="1293"/>
      <c r="M88" s="1290"/>
      <c r="N88" s="1672"/>
      <c r="O88" s="1672"/>
      <c r="P88" s="4037"/>
      <c r="Q88" s="1974"/>
      <c r="R88" s="290"/>
      <c r="S88" s="3023"/>
      <c r="T88" s="3024" t="s">
        <v>620</v>
      </c>
      <c r="U88" s="3025"/>
      <c r="V88" s="3026"/>
      <c r="W88" s="3027"/>
      <c r="X88" s="3028"/>
      <c r="Y88" s="3029"/>
      <c r="Z88" s="3030"/>
      <c r="AA88" s="3031"/>
      <c r="AB88" s="3032"/>
      <c r="AC88" s="3033"/>
      <c r="AD88" s="3034"/>
      <c r="AE88" s="3035"/>
      <c r="AF88" s="3036"/>
      <c r="AG88" s="3037"/>
      <c r="AH88" s="3038"/>
      <c r="AI88" s="3039"/>
      <c r="AJ88" s="3040"/>
      <c r="AK88" s="3041"/>
      <c r="AL88" s="3042"/>
      <c r="AM88" s="3043"/>
      <c r="AN88" s="1566"/>
      <c r="AO88" s="1548"/>
      <c r="AP88" s="1548" t="str">
        <f t="shared" si="1"/>
        <v>Добавить группу потребителей</v>
      </c>
      <c r="AQ88" s="1548"/>
      <c r="AR88" s="1548"/>
      <c r="AS88" s="1559">
        <v>0</v>
      </c>
    </row>
    <row r="89" spans="1:45" s="1745" customFormat="1" ht="14.25" customHeight="1">
      <c r="A89" s="1287"/>
      <c r="B89" s="1287"/>
      <c r="C89" s="1287"/>
      <c r="D89" s="1287"/>
      <c r="E89" s="4034"/>
      <c r="F89" s="4034" t="s">
        <v>77</v>
      </c>
      <c r="G89" s="4034"/>
      <c r="H89" s="4033"/>
      <c r="I89" s="1287"/>
      <c r="J89" s="1287"/>
      <c r="K89" s="1287"/>
      <c r="L89" s="1293"/>
      <c r="M89" s="1289"/>
      <c r="N89" s="1289"/>
      <c r="O89" s="1290"/>
      <c r="P89" s="1718"/>
      <c r="Q89" s="309"/>
      <c r="R89" s="289"/>
      <c r="S89" s="1310"/>
      <c r="T89" s="1311"/>
      <c r="U89" s="1312"/>
      <c r="V89" s="1312"/>
      <c r="W89" s="1312"/>
      <c r="X89" s="1312"/>
      <c r="Y89" s="1312"/>
      <c r="Z89" s="1312"/>
      <c r="AA89" s="1312"/>
      <c r="AB89" s="1312"/>
      <c r="AC89" s="1312"/>
      <c r="AD89" s="1312"/>
      <c r="AE89" s="1312"/>
      <c r="AF89" s="1312"/>
      <c r="AG89" s="1312"/>
      <c r="AH89" s="1312"/>
      <c r="AI89" s="1312"/>
      <c r="AJ89" s="1312"/>
      <c r="AK89" s="1312"/>
      <c r="AL89" s="1312"/>
      <c r="AM89" s="1313"/>
      <c r="AN89" s="1566"/>
      <c r="AO89" s="1548"/>
      <c r="AP89" s="1548" t="str">
        <f t="shared" si="1"/>
        <v/>
      </c>
      <c r="AQ89" s="1548"/>
      <c r="AR89" s="1548"/>
      <c r="AS89" s="1559">
        <v>0</v>
      </c>
    </row>
    <row r="90" spans="1:45" s="556" customFormat="1" ht="0.75" customHeight="1">
      <c r="A90" s="1267"/>
      <c r="B90" s="1267"/>
      <c r="C90" s="1267"/>
      <c r="D90" s="1267"/>
      <c r="E90" s="4034"/>
      <c r="F90" s="4034" t="s">
        <v>77</v>
      </c>
      <c r="G90" s="4033"/>
      <c r="H90" s="1267"/>
      <c r="I90" s="1267"/>
      <c r="J90" s="1267"/>
      <c r="K90" s="1267"/>
      <c r="L90" s="1469"/>
      <c r="M90" s="1239"/>
      <c r="N90" s="1239"/>
      <c r="O90" s="1566"/>
      <c r="P90" s="1240"/>
      <c r="Q90" s="1268"/>
      <c r="R90" s="1240"/>
      <c r="S90" s="1242"/>
      <c r="T90" s="1243" t="s">
        <v>235</v>
      </c>
      <c r="U90" s="1244"/>
      <c r="V90" s="1244"/>
      <c r="W90" s="1244"/>
      <c r="X90" s="1244"/>
      <c r="Y90" s="1244"/>
      <c r="Z90" s="1244"/>
      <c r="AA90" s="1244"/>
      <c r="AB90" s="1244"/>
      <c r="AC90" s="1244"/>
      <c r="AD90" s="1244"/>
      <c r="AE90" s="1244"/>
      <c r="AF90" s="1244"/>
      <c r="AG90" s="1244"/>
      <c r="AH90" s="1244"/>
      <c r="AI90" s="1244"/>
      <c r="AJ90" s="1244"/>
      <c r="AK90" s="1244"/>
      <c r="AL90" s="1244"/>
      <c r="AM90" s="1244"/>
      <c r="AN90" s="1566"/>
      <c r="AO90" s="1548"/>
      <c r="AP90" s="1548" t="str">
        <f t="shared" si="1"/>
        <v>Добавить источник для дифференциации</v>
      </c>
      <c r="AQ90" s="1548"/>
      <c r="AR90" s="1548"/>
      <c r="AS90" s="1566">
        <v>0</v>
      </c>
    </row>
    <row r="91" spans="1:45" s="556" customFormat="1" ht="0.75" customHeight="1">
      <c r="A91" s="1267"/>
      <c r="B91" s="1267"/>
      <c r="C91" s="1267"/>
      <c r="D91" s="1267"/>
      <c r="E91" s="4034"/>
      <c r="F91" s="4033" t="s">
        <v>77</v>
      </c>
      <c r="G91" s="1267"/>
      <c r="H91" s="1267"/>
      <c r="I91" s="1267"/>
      <c r="J91" s="1267"/>
      <c r="K91" s="1267"/>
      <c r="L91" s="1469"/>
      <c r="M91" s="1245"/>
      <c r="N91" s="1245"/>
      <c r="O91" s="1566"/>
      <c r="P91" s="1240"/>
      <c r="Q91" s="1268"/>
      <c r="R91" s="1240"/>
      <c r="S91" s="1246"/>
      <c r="T91" s="1247" t="s">
        <v>236</v>
      </c>
      <c r="U91" s="1248"/>
      <c r="V91" s="1248"/>
      <c r="W91" s="1248"/>
      <c r="X91" s="1248"/>
      <c r="Y91" s="1248"/>
      <c r="Z91" s="1248"/>
      <c r="AA91" s="1248"/>
      <c r="AB91" s="1248"/>
      <c r="AC91" s="1248"/>
      <c r="AD91" s="1248"/>
      <c r="AE91" s="1248"/>
      <c r="AF91" s="1248"/>
      <c r="AG91" s="1248"/>
      <c r="AH91" s="1248"/>
      <c r="AI91" s="1248"/>
      <c r="AJ91" s="1248"/>
      <c r="AK91" s="1248"/>
      <c r="AL91" s="1248"/>
      <c r="AM91" s="1248"/>
      <c r="AN91" s="1566"/>
      <c r="AO91" s="1548"/>
      <c r="AP91" s="1548" t="str">
        <f t="shared" si="1"/>
        <v>Добавить централизованную систему для дифференциации</v>
      </c>
      <c r="AQ91" s="1548"/>
      <c r="AR91" s="1548"/>
      <c r="AS91" s="1566">
        <v>0</v>
      </c>
    </row>
    <row r="92" spans="1:45" s="1745" customFormat="1" ht="21" customHeight="1">
      <c r="A92" s="1287"/>
      <c r="B92" s="1287" t="s">
        <v>310</v>
      </c>
      <c r="C92" s="1287"/>
      <c r="D92" s="1287"/>
      <c r="E92" s="4034"/>
      <c r="F92" s="4033" t="s">
        <v>115</v>
      </c>
      <c r="G92" s="1287"/>
      <c r="H92" s="1287"/>
      <c r="I92" s="1287"/>
      <c r="J92" s="1287"/>
      <c r="K92" s="1287"/>
      <c r="L92" s="1293"/>
      <c r="M92" s="1289"/>
      <c r="N92" s="1289"/>
      <c r="O92" s="1289"/>
      <c r="P92" s="1970"/>
      <c r="Q92" s="286"/>
      <c r="R92" s="287"/>
      <c r="S92" s="1972" t="str">
        <f>INDEX(PT_DIFFERENTIATION_NUM_TER,MATCH(B92,PT_DIFFERENTIATION_TER_ID,0))</f>
        <v>1.5</v>
      </c>
      <c r="T92" s="1446" t="s">
        <v>605</v>
      </c>
      <c r="U92" s="235"/>
      <c r="V92" s="4027"/>
      <c r="W92" s="4028"/>
      <c r="X92" s="4028"/>
      <c r="Y92" s="4028"/>
      <c r="Z92" s="4028"/>
      <c r="AA92" s="4028"/>
      <c r="AB92" s="4028"/>
      <c r="AC92" s="4029"/>
      <c r="AD92" s="4027" t="str">
        <f>INDEX(PT_DIFFERENTIATION_TER,MATCH(B92,PT_DIFFERENTIATION_TER_ID,0))</f>
        <v>Территория 15</v>
      </c>
      <c r="AE92" s="4028"/>
      <c r="AF92" s="4028"/>
      <c r="AG92" s="4028"/>
      <c r="AH92" s="4028"/>
      <c r="AI92" s="4028"/>
      <c r="AJ92" s="4028"/>
      <c r="AK92" s="4028"/>
      <c r="AL92" s="4029"/>
      <c r="AM92" s="1182" t="s">
        <v>606</v>
      </c>
      <c r="AN92" s="1566"/>
      <c r="AO92" s="1548"/>
      <c r="AP92" s="1548" t="str">
        <f t="shared" si="1"/>
        <v>Территория действия тарифа</v>
      </c>
      <c r="AQ92" s="1548"/>
      <c r="AR92" s="1548"/>
      <c r="AS92" s="1559">
        <v>0</v>
      </c>
    </row>
    <row r="93" spans="1:45" s="1745" customFormat="1" ht="23.25" customHeight="1">
      <c r="A93" s="1287"/>
      <c r="B93" s="1287"/>
      <c r="C93" s="1287" t="s">
        <v>311</v>
      </c>
      <c r="D93" s="1287"/>
      <c r="E93" s="4034"/>
      <c r="F93" s="4034" t="s">
        <v>78</v>
      </c>
      <c r="G93" s="4033">
        <v>1</v>
      </c>
      <c r="H93" s="1287"/>
      <c r="I93" s="1287"/>
      <c r="J93" s="1287"/>
      <c r="K93" s="1287"/>
      <c r="L93" s="1293"/>
      <c r="M93" s="1289"/>
      <c r="N93" s="1289"/>
      <c r="O93" s="1289"/>
      <c r="P93" s="288"/>
      <c r="Q93" s="286"/>
      <c r="R93" s="287"/>
      <c r="S93" s="1972" t="str">
        <f>INDEX(PT_DIFFERENTIATION_NUM_CS,MATCH(C93,PT_DIFFERENTIATION_CS_ID,0))</f>
        <v>1.5.1</v>
      </c>
      <c r="T93" s="244" t="s">
        <v>607</v>
      </c>
      <c r="U93" s="235"/>
      <c r="V93" s="4027"/>
      <c r="W93" s="4028"/>
      <c r="X93" s="4028"/>
      <c r="Y93" s="4028"/>
      <c r="Z93" s="4028"/>
      <c r="AA93" s="4028"/>
      <c r="AB93" s="4028"/>
      <c r="AC93" s="4029"/>
      <c r="AD93" s="4027" t="str">
        <f>INDEX(PT_DIFFERENTIATION_CS,MATCH(C93,PT_DIFFERENTIATION_CS_ID,0))</f>
        <v>Сычевский ТУ</v>
      </c>
      <c r="AE93" s="4028"/>
      <c r="AF93" s="4028"/>
      <c r="AG93" s="4028"/>
      <c r="AH93" s="4028"/>
      <c r="AI93" s="4028"/>
      <c r="AJ93" s="4028"/>
      <c r="AK93" s="4028"/>
      <c r="AL93" s="4029"/>
      <c r="AM93" s="1182" t="s">
        <v>608</v>
      </c>
      <c r="AN93" s="1566"/>
      <c r="AO93" s="1548"/>
      <c r="AP93" s="1548" t="str">
        <f t="shared" si="1"/>
        <v xml:space="preserve">Наименование системы теплоснабжения </v>
      </c>
      <c r="AQ93" s="1548"/>
      <c r="AR93" s="1548"/>
      <c r="AS93" s="1559">
        <v>0</v>
      </c>
    </row>
    <row r="94" spans="1:45" s="1745" customFormat="1" ht="21" customHeight="1">
      <c r="A94" s="1287"/>
      <c r="B94" s="1287"/>
      <c r="C94" s="1287"/>
      <c r="D94" s="1287" t="s">
        <v>312</v>
      </c>
      <c r="E94" s="4034"/>
      <c r="F94" s="4034" t="s">
        <v>78</v>
      </c>
      <c r="G94" s="4034"/>
      <c r="H94" s="4033">
        <v>1</v>
      </c>
      <c r="I94" s="1287"/>
      <c r="J94" s="1287"/>
      <c r="K94" s="1287"/>
      <c r="L94" s="1293"/>
      <c r="M94" s="1289"/>
      <c r="N94" s="1289"/>
      <c r="O94" s="1289"/>
      <c r="P94" s="288"/>
      <c r="Q94" s="286"/>
      <c r="R94" s="287"/>
      <c r="S94" s="1972" t="str">
        <f>INDEX(PT_DIFFERENTIATION_NUM_IST_TE,MATCH(D94,PT_DIFFERENTIATION_IST_TE_ID,0))</f>
        <v>1.5.1.1</v>
      </c>
      <c r="T94" s="245" t="s">
        <v>609</v>
      </c>
      <c r="U94" s="235"/>
      <c r="V94" s="4027"/>
      <c r="W94" s="4028"/>
      <c r="X94" s="4028"/>
      <c r="Y94" s="4028"/>
      <c r="Z94" s="4028"/>
      <c r="AA94" s="4028"/>
      <c r="AB94" s="4028"/>
      <c r="AC94" s="4029"/>
      <c r="AD94" s="4027" t="str">
        <f>INDEX(PT_DIFFERENTIATION_IST_TE,MATCH(D94,PT_DIFFERENTIATION_IST_TE_ID,0))</f>
        <v>без дифференциации</v>
      </c>
      <c r="AE94" s="4028"/>
      <c r="AF94" s="4028"/>
      <c r="AG94" s="4028"/>
      <c r="AH94" s="4028"/>
      <c r="AI94" s="4028"/>
      <c r="AJ94" s="4028"/>
      <c r="AK94" s="4028"/>
      <c r="AL94" s="4029"/>
      <c r="AM94" s="1182" t="s">
        <v>610</v>
      </c>
      <c r="AN94" s="1566"/>
      <c r="AO94" s="1548"/>
      <c r="AP94" s="1548" t="str">
        <f t="shared" si="1"/>
        <v xml:space="preserve">Источник тепловой энергии  </v>
      </c>
      <c r="AQ94" s="1548"/>
      <c r="AR94" s="1548"/>
      <c r="AS94" s="1559">
        <v>0</v>
      </c>
    </row>
    <row r="95" spans="1:45" s="1745" customFormat="1" ht="14.25" customHeight="1">
      <c r="A95" s="1287"/>
      <c r="B95" s="1287"/>
      <c r="C95" s="1287"/>
      <c r="D95" s="1287"/>
      <c r="E95" s="4034"/>
      <c r="F95" s="4034" t="s">
        <v>78</v>
      </c>
      <c r="G95" s="4034"/>
      <c r="H95" s="4034"/>
      <c r="I95" s="4035" t="str">
        <f>S94&amp;".1"</f>
        <v>1.5.1.1.1</v>
      </c>
      <c r="J95" s="1287"/>
      <c r="K95" s="1287"/>
      <c r="L95" s="1293" t="s">
        <v>611</v>
      </c>
      <c r="M95" s="1290"/>
      <c r="N95" s="1672"/>
      <c r="O95" s="1672"/>
      <c r="P95" s="4037">
        <v>1</v>
      </c>
      <c r="Q95" s="1974"/>
      <c r="R95" s="290"/>
      <c r="S95" s="1973"/>
      <c r="T95" s="1307"/>
      <c r="U95" s="1308"/>
      <c r="V95" s="4064"/>
      <c r="W95" s="4065"/>
      <c r="X95" s="4065"/>
      <c r="Y95" s="4065"/>
      <c r="Z95" s="4065"/>
      <c r="AA95" s="4065"/>
      <c r="AB95" s="4065"/>
      <c r="AC95" s="4066"/>
      <c r="AD95" s="4064"/>
      <c r="AE95" s="4065"/>
      <c r="AF95" s="4065"/>
      <c r="AG95" s="4065"/>
      <c r="AH95" s="4065"/>
      <c r="AI95" s="4065"/>
      <c r="AJ95" s="4065"/>
      <c r="AK95" s="4065"/>
      <c r="AL95" s="4066"/>
      <c r="AM95" s="1309"/>
      <c r="AN95" s="1566"/>
      <c r="AO95" s="1548"/>
      <c r="AP95" s="1548" t="str">
        <f t="shared" si="1"/>
        <v/>
      </c>
      <c r="AQ95" s="1548"/>
      <c r="AR95" s="1548"/>
      <c r="AS95" s="1559">
        <v>0</v>
      </c>
    </row>
    <row r="96" spans="1:45" s="1745" customFormat="1" ht="21" customHeight="1">
      <c r="A96" s="1287"/>
      <c r="B96" s="1287"/>
      <c r="C96" s="1287"/>
      <c r="D96" s="1287"/>
      <c r="E96" s="4034"/>
      <c r="F96" s="4034" t="s">
        <v>78</v>
      </c>
      <c r="G96" s="4034"/>
      <c r="H96" s="4034"/>
      <c r="I96" s="4036"/>
      <c r="J96" s="4035" t="str">
        <f>I95&amp;".1"</f>
        <v>1.5.1.1.1.1</v>
      </c>
      <c r="K96" s="1287"/>
      <c r="L96" s="1293" t="s">
        <v>614</v>
      </c>
      <c r="M96" s="1290"/>
      <c r="N96" s="1290"/>
      <c r="O96" s="1672"/>
      <c r="P96" s="4037"/>
      <c r="Q96" s="4037">
        <v>1</v>
      </c>
      <c r="R96" s="291"/>
      <c r="S96" s="1972" t="str">
        <f>$J96</f>
        <v>1.5.1.1.1.1</v>
      </c>
      <c r="T96" s="221" t="s">
        <v>615</v>
      </c>
      <c r="U96" s="235"/>
      <c r="V96" s="4021"/>
      <c r="W96" s="4022"/>
      <c r="X96" s="4022"/>
      <c r="Y96" s="4022"/>
      <c r="Z96" s="4022"/>
      <c r="AA96" s="4022"/>
      <c r="AB96" s="4022"/>
      <c r="AC96" s="4023"/>
      <c r="AD96" s="4021" t="s">
        <v>654</v>
      </c>
      <c r="AE96" s="4022"/>
      <c r="AF96" s="4022"/>
      <c r="AG96" s="4022"/>
      <c r="AH96" s="4022"/>
      <c r="AI96" s="4022"/>
      <c r="AJ96" s="4022"/>
      <c r="AK96" s="4022"/>
      <c r="AL96" s="4023"/>
      <c r="AM96" s="1182" t="s">
        <v>616</v>
      </c>
      <c r="AN96" s="1566"/>
      <c r="AO96" s="1548"/>
      <c r="AP96" s="1548" t="str">
        <f t="shared" si="1"/>
        <v>Группа потребителей</v>
      </c>
      <c r="AQ96" s="1548"/>
      <c r="AR96" s="1548"/>
      <c r="AS96" s="1559">
        <v>0</v>
      </c>
    </row>
    <row r="97" spans="1:45" s="1745" customFormat="1" ht="21" customHeight="1">
      <c r="A97" s="1287"/>
      <c r="B97" s="1287"/>
      <c r="C97" s="1287"/>
      <c r="D97" s="1287"/>
      <c r="E97" s="4034"/>
      <c r="F97" s="4034" t="s">
        <v>78</v>
      </c>
      <c r="G97" s="4034"/>
      <c r="H97" s="4034"/>
      <c r="I97" s="4036"/>
      <c r="J97" s="4036"/>
      <c r="K97" s="4035" t="str">
        <f>J96&amp;".1"</f>
        <v>1.5.1.1.1.1.1</v>
      </c>
      <c r="L97" s="1293" t="s">
        <v>617</v>
      </c>
      <c r="M97" s="1290"/>
      <c r="N97" s="1290"/>
      <c r="O97" s="1290"/>
      <c r="P97" s="4037"/>
      <c r="Q97" s="4037"/>
      <c r="R97" s="291">
        <v>1</v>
      </c>
      <c r="S97" s="1972" t="str">
        <f>$K97</f>
        <v>1.5.1.1.1.1.1</v>
      </c>
      <c r="T97" s="1271" t="s">
        <v>656</v>
      </c>
      <c r="U97" s="235"/>
      <c r="V97" s="685"/>
      <c r="W97" s="260"/>
      <c r="X97" s="685"/>
      <c r="Y97" s="1181"/>
      <c r="Z97" s="4038"/>
      <c r="AA97" s="3899" t="s">
        <v>53</v>
      </c>
      <c r="AB97" s="4038"/>
      <c r="AC97" s="3899" t="s">
        <v>53</v>
      </c>
      <c r="AD97" s="685">
        <v>172.95</v>
      </c>
      <c r="AE97" s="260"/>
      <c r="AF97" s="685"/>
      <c r="AG97" s="1181"/>
      <c r="AH97" s="4038">
        <v>46023.698750000003</v>
      </c>
      <c r="AI97" s="3899" t="s">
        <v>53</v>
      </c>
      <c r="AJ97" s="4038">
        <v>46387.698842592596</v>
      </c>
      <c r="AK97" s="3899" t="s">
        <v>53</v>
      </c>
      <c r="AL97" s="260"/>
      <c r="AM97" s="4056" t="s">
        <v>618</v>
      </c>
      <c r="AN97" s="1566" t="e">
        <f ca="1">STRCHECKDATE(V98:AL98)</f>
        <v>#NAME?</v>
      </c>
      <c r="AO97" s="1548"/>
      <c r="AP97" s="1548" t="str">
        <f t="shared" si="1"/>
        <v>вода</v>
      </c>
      <c r="AQ97" s="1548"/>
      <c r="AR97" s="1548"/>
      <c r="AS97" s="1559">
        <v>0</v>
      </c>
    </row>
    <row r="98" spans="1:45" s="1745" customFormat="1" ht="0.75" customHeight="1">
      <c r="A98" s="1287"/>
      <c r="B98" s="1287"/>
      <c r="C98" s="1287"/>
      <c r="D98" s="1287"/>
      <c r="E98" s="4034"/>
      <c r="F98" s="4034" t="s">
        <v>78</v>
      </c>
      <c r="G98" s="4034"/>
      <c r="H98" s="4034"/>
      <c r="I98" s="4036"/>
      <c r="J98" s="4036"/>
      <c r="K98" s="4035"/>
      <c r="L98" s="1293"/>
      <c r="M98" s="1290"/>
      <c r="N98" s="1290"/>
      <c r="O98" s="1290"/>
      <c r="P98" s="4037"/>
      <c r="Q98" s="4037"/>
      <c r="R98" s="291"/>
      <c r="S98" s="1978"/>
      <c r="T98" s="235"/>
      <c r="U98" s="235"/>
      <c r="V98" s="260"/>
      <c r="W98" s="260"/>
      <c r="X98" s="260"/>
      <c r="Y98" s="263" t="str">
        <f>Z97&amp;"-"&amp;AB97</f>
        <v>-</v>
      </c>
      <c r="Z98" s="4039"/>
      <c r="AA98" s="3899"/>
      <c r="AB98" s="4039"/>
      <c r="AC98" s="3899"/>
      <c r="AD98" s="260"/>
      <c r="AE98" s="260"/>
      <c r="AF98" s="260"/>
      <c r="AG98" s="263" t="str">
        <f>AH97&amp;"-"&amp;AJ97</f>
        <v>46023,69875-46387,6988425926</v>
      </c>
      <c r="AH98" s="4039"/>
      <c r="AI98" s="3899"/>
      <c r="AJ98" s="4039"/>
      <c r="AK98" s="3899"/>
      <c r="AL98" s="260"/>
      <c r="AM98" s="4057"/>
      <c r="AN98" s="1566"/>
      <c r="AO98" s="1548"/>
      <c r="AP98" s="1548" t="str">
        <f t="shared" si="1"/>
        <v/>
      </c>
      <c r="AQ98" s="1548"/>
      <c r="AR98" s="1548"/>
      <c r="AS98" s="1559">
        <v>0</v>
      </c>
    </row>
    <row r="99" spans="1:45" s="1745" customFormat="1" ht="15" customHeight="1">
      <c r="A99" s="1287"/>
      <c r="B99" s="1287"/>
      <c r="C99" s="1287"/>
      <c r="D99" s="1287"/>
      <c r="E99" s="4034"/>
      <c r="F99" s="4034" t="s">
        <v>78</v>
      </c>
      <c r="G99" s="4034"/>
      <c r="H99" s="4034"/>
      <c r="I99" s="4036"/>
      <c r="J99" s="4035"/>
      <c r="K99" s="1287"/>
      <c r="L99" s="1293"/>
      <c r="M99" s="1290"/>
      <c r="N99" s="1290"/>
      <c r="O99" s="1672"/>
      <c r="P99" s="4037"/>
      <c r="Q99" s="4037"/>
      <c r="R99" s="290"/>
      <c r="S99" s="3044"/>
      <c r="T99" s="3045" t="s">
        <v>619</v>
      </c>
      <c r="U99" s="3046"/>
      <c r="V99" s="3047"/>
      <c r="W99" s="3048"/>
      <c r="X99" s="3049"/>
      <c r="Y99" s="3050"/>
      <c r="Z99" s="3051"/>
      <c r="AA99" s="3052"/>
      <c r="AB99" s="3053"/>
      <c r="AC99" s="3054"/>
      <c r="AD99" s="3055"/>
      <c r="AE99" s="3056"/>
      <c r="AF99" s="3057"/>
      <c r="AG99" s="3058"/>
      <c r="AH99" s="3059"/>
      <c r="AI99" s="3060"/>
      <c r="AJ99" s="3061"/>
      <c r="AK99" s="3062"/>
      <c r="AL99" s="3063"/>
      <c r="AM99" s="4058"/>
      <c r="AN99" s="1566"/>
      <c r="AO99" s="1548"/>
      <c r="AP99" s="1548" t="str">
        <f t="shared" si="1"/>
        <v>Добавить вид теплоносителя (параметры теплоносителя)</v>
      </c>
      <c r="AQ99" s="1548"/>
      <c r="AR99" s="1548"/>
      <c r="AS99" s="1559">
        <v>0</v>
      </c>
    </row>
    <row r="100" spans="1:45" s="1745" customFormat="1" ht="15" customHeight="1">
      <c r="A100" s="1287"/>
      <c r="B100" s="1287"/>
      <c r="C100" s="1287"/>
      <c r="D100" s="1287"/>
      <c r="E100" s="4034"/>
      <c r="F100" s="4034" t="s">
        <v>78</v>
      </c>
      <c r="G100" s="4034"/>
      <c r="H100" s="4034"/>
      <c r="I100" s="4035"/>
      <c r="J100" s="1287"/>
      <c r="K100" s="1287"/>
      <c r="L100" s="1293"/>
      <c r="M100" s="1290"/>
      <c r="N100" s="1672"/>
      <c r="O100" s="1672"/>
      <c r="P100" s="4037"/>
      <c r="Q100" s="1974"/>
      <c r="R100" s="290"/>
      <c r="S100" s="3064"/>
      <c r="T100" s="3065" t="s">
        <v>620</v>
      </c>
      <c r="U100" s="3066"/>
      <c r="V100" s="3067"/>
      <c r="W100" s="3068"/>
      <c r="X100" s="3069"/>
      <c r="Y100" s="3070"/>
      <c r="Z100" s="3071"/>
      <c r="AA100" s="3072"/>
      <c r="AB100" s="3073"/>
      <c r="AC100" s="3074"/>
      <c r="AD100" s="3075"/>
      <c r="AE100" s="3076"/>
      <c r="AF100" s="3077"/>
      <c r="AG100" s="3078"/>
      <c r="AH100" s="3079"/>
      <c r="AI100" s="3080"/>
      <c r="AJ100" s="3081"/>
      <c r="AK100" s="3082"/>
      <c r="AL100" s="3083"/>
      <c r="AM100" s="3084"/>
      <c r="AN100" s="1566"/>
      <c r="AO100" s="1548"/>
      <c r="AP100" s="1548" t="str">
        <f t="shared" si="1"/>
        <v>Добавить группу потребителей</v>
      </c>
      <c r="AQ100" s="1548"/>
      <c r="AR100" s="1548"/>
      <c r="AS100" s="1559">
        <v>0</v>
      </c>
    </row>
    <row r="101" spans="1:45" s="1745" customFormat="1" ht="14.25" customHeight="1">
      <c r="A101" s="1287"/>
      <c r="B101" s="1287"/>
      <c r="C101" s="1287"/>
      <c r="D101" s="1287"/>
      <c r="E101" s="4034"/>
      <c r="F101" s="4034" t="s">
        <v>78</v>
      </c>
      <c r="G101" s="4034"/>
      <c r="H101" s="4033"/>
      <c r="I101" s="1287"/>
      <c r="J101" s="1287"/>
      <c r="K101" s="1287"/>
      <c r="L101" s="1293"/>
      <c r="M101" s="1289"/>
      <c r="N101" s="1289"/>
      <c r="O101" s="1290"/>
      <c r="P101" s="1718"/>
      <c r="Q101" s="309"/>
      <c r="R101" s="289"/>
      <c r="S101" s="1310"/>
      <c r="T101" s="1311"/>
      <c r="U101" s="1312"/>
      <c r="V101" s="1312"/>
      <c r="W101" s="1312"/>
      <c r="X101" s="1312"/>
      <c r="Y101" s="1312"/>
      <c r="Z101" s="1312"/>
      <c r="AA101" s="1312"/>
      <c r="AB101" s="1312"/>
      <c r="AC101" s="1312"/>
      <c r="AD101" s="1312"/>
      <c r="AE101" s="1312"/>
      <c r="AF101" s="1312"/>
      <c r="AG101" s="1312"/>
      <c r="AH101" s="1312"/>
      <c r="AI101" s="1312"/>
      <c r="AJ101" s="1312"/>
      <c r="AK101" s="1312"/>
      <c r="AL101" s="1312"/>
      <c r="AM101" s="1313"/>
      <c r="AN101" s="1566"/>
      <c r="AO101" s="1548"/>
      <c r="AP101" s="1548" t="str">
        <f t="shared" si="1"/>
        <v/>
      </c>
      <c r="AQ101" s="1548"/>
      <c r="AR101" s="1548"/>
      <c r="AS101" s="1559">
        <v>0</v>
      </c>
    </row>
    <row r="102" spans="1:45" s="556" customFormat="1" ht="0.75" customHeight="1">
      <c r="A102" s="1267"/>
      <c r="B102" s="1267"/>
      <c r="C102" s="1267"/>
      <c r="D102" s="1267"/>
      <c r="E102" s="4034"/>
      <c r="F102" s="4034" t="s">
        <v>78</v>
      </c>
      <c r="G102" s="4033"/>
      <c r="H102" s="1267"/>
      <c r="I102" s="1267"/>
      <c r="J102" s="1267"/>
      <c r="K102" s="1267"/>
      <c r="L102" s="1469"/>
      <c r="M102" s="1239"/>
      <c r="N102" s="1239"/>
      <c r="O102" s="1566"/>
      <c r="P102" s="1240"/>
      <c r="Q102" s="1268"/>
      <c r="R102" s="1240"/>
      <c r="S102" s="1242"/>
      <c r="T102" s="1243" t="s">
        <v>235</v>
      </c>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566"/>
      <c r="AO102" s="1548"/>
      <c r="AP102" s="1548" t="str">
        <f t="shared" si="1"/>
        <v>Добавить источник для дифференциации</v>
      </c>
      <c r="AQ102" s="1548"/>
      <c r="AR102" s="1548"/>
      <c r="AS102" s="1566">
        <v>0</v>
      </c>
    </row>
    <row r="103" spans="1:45" s="556" customFormat="1" ht="0.75" customHeight="1">
      <c r="A103" s="1267"/>
      <c r="B103" s="1267"/>
      <c r="C103" s="1267"/>
      <c r="D103" s="1267"/>
      <c r="E103" s="4034"/>
      <c r="F103" s="4033" t="s">
        <v>78</v>
      </c>
      <c r="G103" s="1267"/>
      <c r="H103" s="1267"/>
      <c r="I103" s="1267"/>
      <c r="J103" s="1267"/>
      <c r="K103" s="1267"/>
      <c r="L103" s="1469"/>
      <c r="M103" s="1245"/>
      <c r="N103" s="1245"/>
      <c r="O103" s="1566"/>
      <c r="P103" s="1240"/>
      <c r="Q103" s="1268"/>
      <c r="R103" s="1240"/>
      <c r="S103" s="1246"/>
      <c r="T103" s="1247" t="s">
        <v>236</v>
      </c>
      <c r="U103" s="1248"/>
      <c r="V103" s="1248"/>
      <c r="W103" s="1248"/>
      <c r="X103" s="1248"/>
      <c r="Y103" s="1248"/>
      <c r="Z103" s="1248"/>
      <c r="AA103" s="1248"/>
      <c r="AB103" s="1248"/>
      <c r="AC103" s="1248"/>
      <c r="AD103" s="1248"/>
      <c r="AE103" s="1248"/>
      <c r="AF103" s="1248"/>
      <c r="AG103" s="1248"/>
      <c r="AH103" s="1248"/>
      <c r="AI103" s="1248"/>
      <c r="AJ103" s="1248"/>
      <c r="AK103" s="1248"/>
      <c r="AL103" s="1248"/>
      <c r="AM103" s="1248"/>
      <c r="AN103" s="1566"/>
      <c r="AO103" s="1548"/>
      <c r="AP103" s="1548" t="str">
        <f t="shared" si="1"/>
        <v>Добавить централизованную систему для дифференциации</v>
      </c>
      <c r="AQ103" s="1548"/>
      <c r="AR103" s="1548"/>
      <c r="AS103" s="1566">
        <v>0</v>
      </c>
    </row>
    <row r="104" spans="1:45" s="1745" customFormat="1" ht="21" customHeight="1">
      <c r="A104" s="1287"/>
      <c r="B104" s="1287" t="s">
        <v>314</v>
      </c>
      <c r="C104" s="1287"/>
      <c r="D104" s="1287"/>
      <c r="E104" s="4034"/>
      <c r="F104" s="4033" t="s">
        <v>79</v>
      </c>
      <c r="G104" s="1287"/>
      <c r="H104" s="1287"/>
      <c r="I104" s="1287"/>
      <c r="J104" s="1287"/>
      <c r="K104" s="1287"/>
      <c r="L104" s="1293"/>
      <c r="M104" s="1289"/>
      <c r="N104" s="1289"/>
      <c r="O104" s="1289"/>
      <c r="P104" s="1970"/>
      <c r="Q104" s="286"/>
      <c r="R104" s="287"/>
      <c r="S104" s="1972" t="str">
        <f>INDEX(PT_DIFFERENTIATION_NUM_TER,MATCH(B104,PT_DIFFERENTIATION_TER_ID,0))</f>
        <v>1.6</v>
      </c>
      <c r="T104" s="1446" t="s">
        <v>605</v>
      </c>
      <c r="U104" s="235"/>
      <c r="V104" s="4027"/>
      <c r="W104" s="4028"/>
      <c r="X104" s="4028"/>
      <c r="Y104" s="4028"/>
      <c r="Z104" s="4028"/>
      <c r="AA104" s="4028"/>
      <c r="AB104" s="4028"/>
      <c r="AC104" s="4029"/>
      <c r="AD104" s="4027" t="str">
        <f>INDEX(PT_DIFFERENTIATION_TER,MATCH(B104,PT_DIFFERENTIATION_TER_ID,0))</f>
        <v>Территория 16</v>
      </c>
      <c r="AE104" s="4028"/>
      <c r="AF104" s="4028"/>
      <c r="AG104" s="4028"/>
      <c r="AH104" s="4028"/>
      <c r="AI104" s="4028"/>
      <c r="AJ104" s="4028"/>
      <c r="AK104" s="4028"/>
      <c r="AL104" s="4029"/>
      <c r="AM104" s="1182" t="s">
        <v>606</v>
      </c>
      <c r="AN104" s="1566"/>
      <c r="AO104" s="1548"/>
      <c r="AP104" s="1548" t="str">
        <f t="shared" si="1"/>
        <v>Территория действия тарифа</v>
      </c>
      <c r="AQ104" s="1548"/>
      <c r="AR104" s="1548"/>
      <c r="AS104" s="1559">
        <v>0</v>
      </c>
    </row>
    <row r="105" spans="1:45" s="1745" customFormat="1" ht="23.25" customHeight="1">
      <c r="A105" s="1287"/>
      <c r="B105" s="1287"/>
      <c r="C105" s="1287" t="s">
        <v>315</v>
      </c>
      <c r="D105" s="1287"/>
      <c r="E105" s="4034"/>
      <c r="F105" s="4034" t="s">
        <v>115</v>
      </c>
      <c r="G105" s="4033">
        <v>1</v>
      </c>
      <c r="H105" s="1287"/>
      <c r="I105" s="1287"/>
      <c r="J105" s="1287"/>
      <c r="K105" s="1287"/>
      <c r="L105" s="1293"/>
      <c r="M105" s="1289"/>
      <c r="N105" s="1289"/>
      <c r="O105" s="1289"/>
      <c r="P105" s="288"/>
      <c r="Q105" s="286"/>
      <c r="R105" s="287"/>
      <c r="S105" s="1972" t="str">
        <f>INDEX(PT_DIFFERENTIATION_NUM_CS,MATCH(C105,PT_DIFFERENTIATION_CS_ID,0))</f>
        <v>1.6.1</v>
      </c>
      <c r="T105" s="244" t="s">
        <v>607</v>
      </c>
      <c r="U105" s="235"/>
      <c r="V105" s="4027"/>
      <c r="W105" s="4028"/>
      <c r="X105" s="4028"/>
      <c r="Y105" s="4028"/>
      <c r="Z105" s="4028"/>
      <c r="AA105" s="4028"/>
      <c r="AB105" s="4028"/>
      <c r="AC105" s="4029"/>
      <c r="AD105" s="4027" t="str">
        <f>INDEX(PT_DIFFERENTIATION_CS,MATCH(C105,PT_DIFFERENTIATION_CS_ID,0))</f>
        <v>Рославльский ТУ</v>
      </c>
      <c r="AE105" s="4028"/>
      <c r="AF105" s="4028"/>
      <c r="AG105" s="4028"/>
      <c r="AH105" s="4028"/>
      <c r="AI105" s="4028"/>
      <c r="AJ105" s="4028"/>
      <c r="AK105" s="4028"/>
      <c r="AL105" s="4029"/>
      <c r="AM105" s="1182" t="s">
        <v>608</v>
      </c>
      <c r="AN105" s="1566"/>
      <c r="AO105" s="1548"/>
      <c r="AP105" s="1548" t="str">
        <f t="shared" si="1"/>
        <v xml:space="preserve">Наименование системы теплоснабжения </v>
      </c>
      <c r="AQ105" s="1548"/>
      <c r="AR105" s="1548"/>
      <c r="AS105" s="1559">
        <v>0</v>
      </c>
    </row>
    <row r="106" spans="1:45" s="1745" customFormat="1" ht="21" customHeight="1">
      <c r="A106" s="1287"/>
      <c r="B106" s="1287"/>
      <c r="C106" s="1287"/>
      <c r="D106" s="1287" t="s">
        <v>316</v>
      </c>
      <c r="E106" s="4034"/>
      <c r="F106" s="4034" t="s">
        <v>115</v>
      </c>
      <c r="G106" s="4034"/>
      <c r="H106" s="4033">
        <v>1</v>
      </c>
      <c r="I106" s="1287"/>
      <c r="J106" s="1287"/>
      <c r="K106" s="1287"/>
      <c r="L106" s="1293"/>
      <c r="M106" s="1289"/>
      <c r="N106" s="1289"/>
      <c r="O106" s="1289"/>
      <c r="P106" s="288"/>
      <c r="Q106" s="286"/>
      <c r="R106" s="287"/>
      <c r="S106" s="1972" t="str">
        <f>INDEX(PT_DIFFERENTIATION_NUM_IST_TE,MATCH(D106,PT_DIFFERENTIATION_IST_TE_ID,0))</f>
        <v>1.6.1.1</v>
      </c>
      <c r="T106" s="245" t="s">
        <v>609</v>
      </c>
      <c r="U106" s="235"/>
      <c r="V106" s="4027"/>
      <c r="W106" s="4028"/>
      <c r="X106" s="4028"/>
      <c r="Y106" s="4028"/>
      <c r="Z106" s="4028"/>
      <c r="AA106" s="4028"/>
      <c r="AB106" s="4028"/>
      <c r="AC106" s="4029"/>
      <c r="AD106" s="4027" t="str">
        <f>INDEX(PT_DIFFERENTIATION_IST_TE,MATCH(D106,PT_DIFFERENTIATION_IST_TE_ID,0))</f>
        <v>без дифференциации</v>
      </c>
      <c r="AE106" s="4028"/>
      <c r="AF106" s="4028"/>
      <c r="AG106" s="4028"/>
      <c r="AH106" s="4028"/>
      <c r="AI106" s="4028"/>
      <c r="AJ106" s="4028"/>
      <c r="AK106" s="4028"/>
      <c r="AL106" s="4029"/>
      <c r="AM106" s="1182" t="s">
        <v>610</v>
      </c>
      <c r="AN106" s="1566"/>
      <c r="AO106" s="1548"/>
      <c r="AP106" s="1548" t="str">
        <f t="shared" si="1"/>
        <v xml:space="preserve">Источник тепловой энергии  </v>
      </c>
      <c r="AQ106" s="1548"/>
      <c r="AR106" s="1548"/>
      <c r="AS106" s="1559">
        <v>0</v>
      </c>
    </row>
    <row r="107" spans="1:45" s="1745" customFormat="1" ht="14.25" customHeight="1">
      <c r="A107" s="1287"/>
      <c r="B107" s="1287"/>
      <c r="C107" s="1287"/>
      <c r="D107" s="1287"/>
      <c r="E107" s="4034"/>
      <c r="F107" s="4034" t="s">
        <v>115</v>
      </c>
      <c r="G107" s="4034"/>
      <c r="H107" s="4034"/>
      <c r="I107" s="4035" t="str">
        <f>S106&amp;".1"</f>
        <v>1.6.1.1.1</v>
      </c>
      <c r="J107" s="1287"/>
      <c r="K107" s="1287"/>
      <c r="L107" s="1293" t="s">
        <v>611</v>
      </c>
      <c r="M107" s="1290"/>
      <c r="N107" s="1672"/>
      <c r="O107" s="1672"/>
      <c r="P107" s="4037">
        <v>1</v>
      </c>
      <c r="Q107" s="1974"/>
      <c r="R107" s="290"/>
      <c r="S107" s="1973"/>
      <c r="T107" s="1307"/>
      <c r="U107" s="1308"/>
      <c r="V107" s="4064"/>
      <c r="W107" s="4065"/>
      <c r="X107" s="4065"/>
      <c r="Y107" s="4065"/>
      <c r="Z107" s="4065"/>
      <c r="AA107" s="4065"/>
      <c r="AB107" s="4065"/>
      <c r="AC107" s="4066"/>
      <c r="AD107" s="4064"/>
      <c r="AE107" s="4065"/>
      <c r="AF107" s="4065"/>
      <c r="AG107" s="4065"/>
      <c r="AH107" s="4065"/>
      <c r="AI107" s="4065"/>
      <c r="AJ107" s="4065"/>
      <c r="AK107" s="4065"/>
      <c r="AL107" s="4066"/>
      <c r="AM107" s="1309"/>
      <c r="AN107" s="1566"/>
      <c r="AO107" s="1548"/>
      <c r="AP107" s="1548" t="str">
        <f t="shared" ref="AP107:AP170" si="2">IF(T107="","",T107)</f>
        <v/>
      </c>
      <c r="AQ107" s="1548"/>
      <c r="AR107" s="1548"/>
      <c r="AS107" s="1559">
        <v>0</v>
      </c>
    </row>
    <row r="108" spans="1:45" s="1745" customFormat="1" ht="21" customHeight="1">
      <c r="A108" s="1287"/>
      <c r="B108" s="1287"/>
      <c r="C108" s="1287"/>
      <c r="D108" s="1287"/>
      <c r="E108" s="4034"/>
      <c r="F108" s="4034" t="s">
        <v>115</v>
      </c>
      <c r="G108" s="4034"/>
      <c r="H108" s="4034"/>
      <c r="I108" s="4036"/>
      <c r="J108" s="4035" t="str">
        <f>I107&amp;".1"</f>
        <v>1.6.1.1.1.1</v>
      </c>
      <c r="K108" s="1287"/>
      <c r="L108" s="1293" t="s">
        <v>614</v>
      </c>
      <c r="M108" s="1290"/>
      <c r="N108" s="1290"/>
      <c r="O108" s="1672"/>
      <c r="P108" s="4037"/>
      <c r="Q108" s="4037">
        <v>1</v>
      </c>
      <c r="R108" s="291"/>
      <c r="S108" s="1972" t="str">
        <f>$J108</f>
        <v>1.6.1.1.1.1</v>
      </c>
      <c r="T108" s="221" t="s">
        <v>615</v>
      </c>
      <c r="U108" s="235"/>
      <c r="V108" s="4021"/>
      <c r="W108" s="4022"/>
      <c r="X108" s="4022"/>
      <c r="Y108" s="4022"/>
      <c r="Z108" s="4022"/>
      <c r="AA108" s="4022"/>
      <c r="AB108" s="4022"/>
      <c r="AC108" s="4023"/>
      <c r="AD108" s="4021" t="s">
        <v>654</v>
      </c>
      <c r="AE108" s="4022"/>
      <c r="AF108" s="4022"/>
      <c r="AG108" s="4022"/>
      <c r="AH108" s="4022"/>
      <c r="AI108" s="4022"/>
      <c r="AJ108" s="4022"/>
      <c r="AK108" s="4022"/>
      <c r="AL108" s="4023"/>
      <c r="AM108" s="1182" t="s">
        <v>616</v>
      </c>
      <c r="AN108" s="1566"/>
      <c r="AO108" s="1548"/>
      <c r="AP108" s="1548" t="str">
        <f t="shared" si="2"/>
        <v>Группа потребителей</v>
      </c>
      <c r="AQ108" s="1548"/>
      <c r="AR108" s="1548"/>
      <c r="AS108" s="1559">
        <v>0</v>
      </c>
    </row>
    <row r="109" spans="1:45" s="1745" customFormat="1" ht="21" customHeight="1">
      <c r="A109" s="1287"/>
      <c r="B109" s="1287"/>
      <c r="C109" s="1287"/>
      <c r="D109" s="1287"/>
      <c r="E109" s="4034"/>
      <c r="F109" s="4034" t="s">
        <v>115</v>
      </c>
      <c r="G109" s="4034"/>
      <c r="H109" s="4034"/>
      <c r="I109" s="4036"/>
      <c r="J109" s="4036"/>
      <c r="K109" s="4035" t="str">
        <f>J108&amp;".1"</f>
        <v>1.6.1.1.1.1.1</v>
      </c>
      <c r="L109" s="1293" t="s">
        <v>617</v>
      </c>
      <c r="M109" s="1290"/>
      <c r="N109" s="1290"/>
      <c r="O109" s="1290"/>
      <c r="P109" s="4037"/>
      <c r="Q109" s="4037"/>
      <c r="R109" s="291">
        <v>1</v>
      </c>
      <c r="S109" s="1972" t="str">
        <f>$K109</f>
        <v>1.6.1.1.1.1.1</v>
      </c>
      <c r="T109" s="1271" t="s">
        <v>656</v>
      </c>
      <c r="U109" s="235"/>
      <c r="V109" s="685"/>
      <c r="W109" s="260"/>
      <c r="X109" s="685"/>
      <c r="Y109" s="1181"/>
      <c r="Z109" s="4038"/>
      <c r="AA109" s="3899" t="s">
        <v>53</v>
      </c>
      <c r="AB109" s="4038"/>
      <c r="AC109" s="3899" t="s">
        <v>53</v>
      </c>
      <c r="AD109" s="685">
        <v>386.19</v>
      </c>
      <c r="AE109" s="260"/>
      <c r="AF109" s="685"/>
      <c r="AG109" s="1181"/>
      <c r="AH109" s="4038">
        <v>46023.706944444442</v>
      </c>
      <c r="AI109" s="3899" t="s">
        <v>53</v>
      </c>
      <c r="AJ109" s="4038">
        <v>46387.707048611112</v>
      </c>
      <c r="AK109" s="3899" t="s">
        <v>53</v>
      </c>
      <c r="AL109" s="260"/>
      <c r="AM109" s="4056" t="s">
        <v>618</v>
      </c>
      <c r="AN109" s="1566" t="e">
        <f ca="1">STRCHECKDATE(V110:AL110)</f>
        <v>#NAME?</v>
      </c>
      <c r="AO109" s="1548"/>
      <c r="AP109" s="1548" t="str">
        <f t="shared" si="2"/>
        <v>вода</v>
      </c>
      <c r="AQ109" s="1548"/>
      <c r="AR109" s="1548"/>
      <c r="AS109" s="1559">
        <v>0</v>
      </c>
    </row>
    <row r="110" spans="1:45" s="1745" customFormat="1" ht="0.75" customHeight="1">
      <c r="A110" s="1287"/>
      <c r="B110" s="1287"/>
      <c r="C110" s="1287"/>
      <c r="D110" s="1287"/>
      <c r="E110" s="4034"/>
      <c r="F110" s="4034" t="s">
        <v>115</v>
      </c>
      <c r="G110" s="4034"/>
      <c r="H110" s="4034"/>
      <c r="I110" s="4036"/>
      <c r="J110" s="4036"/>
      <c r="K110" s="4035"/>
      <c r="L110" s="1293"/>
      <c r="M110" s="1290"/>
      <c r="N110" s="1290"/>
      <c r="O110" s="1290"/>
      <c r="P110" s="4037"/>
      <c r="Q110" s="4037"/>
      <c r="R110" s="291"/>
      <c r="S110" s="1978"/>
      <c r="T110" s="235"/>
      <c r="U110" s="235"/>
      <c r="V110" s="260"/>
      <c r="W110" s="260"/>
      <c r="X110" s="260"/>
      <c r="Y110" s="263" t="str">
        <f>Z109&amp;"-"&amp;AB109</f>
        <v>-</v>
      </c>
      <c r="Z110" s="4039"/>
      <c r="AA110" s="3899"/>
      <c r="AB110" s="4039"/>
      <c r="AC110" s="3899"/>
      <c r="AD110" s="260"/>
      <c r="AE110" s="260"/>
      <c r="AF110" s="260"/>
      <c r="AG110" s="263" t="str">
        <f>AH109&amp;"-"&amp;AJ109</f>
        <v>46023,7069444444-46387,7070486111</v>
      </c>
      <c r="AH110" s="4039"/>
      <c r="AI110" s="3899"/>
      <c r="AJ110" s="4039"/>
      <c r="AK110" s="3899"/>
      <c r="AL110" s="260"/>
      <c r="AM110" s="4057"/>
      <c r="AN110" s="1566"/>
      <c r="AO110" s="1548"/>
      <c r="AP110" s="1548" t="str">
        <f t="shared" si="2"/>
        <v/>
      </c>
      <c r="AQ110" s="1548"/>
      <c r="AR110" s="1548"/>
      <c r="AS110" s="1559">
        <v>0</v>
      </c>
    </row>
    <row r="111" spans="1:45" s="1745" customFormat="1" ht="15" customHeight="1">
      <c r="A111" s="1287"/>
      <c r="B111" s="1287"/>
      <c r="C111" s="1287"/>
      <c r="D111" s="1287"/>
      <c r="E111" s="4034"/>
      <c r="F111" s="4034" t="s">
        <v>115</v>
      </c>
      <c r="G111" s="4034"/>
      <c r="H111" s="4034"/>
      <c r="I111" s="4036"/>
      <c r="J111" s="4035"/>
      <c r="K111" s="1287"/>
      <c r="L111" s="1293"/>
      <c r="M111" s="1290"/>
      <c r="N111" s="1290"/>
      <c r="O111" s="1672"/>
      <c r="P111" s="4037"/>
      <c r="Q111" s="4037"/>
      <c r="R111" s="290"/>
      <c r="S111" s="3085"/>
      <c r="T111" s="3086" t="s">
        <v>619</v>
      </c>
      <c r="U111" s="3087"/>
      <c r="V111" s="3088"/>
      <c r="W111" s="3089"/>
      <c r="X111" s="3090"/>
      <c r="Y111" s="3091"/>
      <c r="Z111" s="3092"/>
      <c r="AA111" s="3093"/>
      <c r="AB111" s="3094"/>
      <c r="AC111" s="3095"/>
      <c r="AD111" s="3096"/>
      <c r="AE111" s="3097"/>
      <c r="AF111" s="3098"/>
      <c r="AG111" s="3099"/>
      <c r="AH111" s="3100"/>
      <c r="AI111" s="3101"/>
      <c r="AJ111" s="3102"/>
      <c r="AK111" s="3103"/>
      <c r="AL111" s="3104"/>
      <c r="AM111" s="4058"/>
      <c r="AN111" s="1566"/>
      <c r="AO111" s="1548"/>
      <c r="AP111" s="1548" t="str">
        <f t="shared" si="2"/>
        <v>Добавить вид теплоносителя (параметры теплоносителя)</v>
      </c>
      <c r="AQ111" s="1548"/>
      <c r="AR111" s="1548"/>
      <c r="AS111" s="1559">
        <v>0</v>
      </c>
    </row>
    <row r="112" spans="1:45" s="1745" customFormat="1" ht="15" customHeight="1">
      <c r="A112" s="1287"/>
      <c r="B112" s="1287"/>
      <c r="C112" s="1287"/>
      <c r="D112" s="1287"/>
      <c r="E112" s="4034"/>
      <c r="F112" s="4034" t="s">
        <v>115</v>
      </c>
      <c r="G112" s="4034"/>
      <c r="H112" s="4034"/>
      <c r="I112" s="4035"/>
      <c r="J112" s="1287"/>
      <c r="K112" s="1287"/>
      <c r="L112" s="1293"/>
      <c r="M112" s="1290"/>
      <c r="N112" s="1672"/>
      <c r="O112" s="1672"/>
      <c r="P112" s="4037"/>
      <c r="Q112" s="1974"/>
      <c r="R112" s="290"/>
      <c r="S112" s="3105"/>
      <c r="T112" s="3106" t="s">
        <v>620</v>
      </c>
      <c r="U112" s="3107"/>
      <c r="V112" s="3108"/>
      <c r="W112" s="3109"/>
      <c r="X112" s="3110"/>
      <c r="Y112" s="3111"/>
      <c r="Z112" s="3112"/>
      <c r="AA112" s="3113"/>
      <c r="AB112" s="3114"/>
      <c r="AC112" s="3115"/>
      <c r="AD112" s="3116"/>
      <c r="AE112" s="3117"/>
      <c r="AF112" s="3118"/>
      <c r="AG112" s="3119"/>
      <c r="AH112" s="3120"/>
      <c r="AI112" s="3121"/>
      <c r="AJ112" s="3122"/>
      <c r="AK112" s="3123"/>
      <c r="AL112" s="3124"/>
      <c r="AM112" s="3125"/>
      <c r="AN112" s="1566"/>
      <c r="AO112" s="1548"/>
      <c r="AP112" s="1548" t="str">
        <f t="shared" si="2"/>
        <v>Добавить группу потребителей</v>
      </c>
      <c r="AQ112" s="1548"/>
      <c r="AR112" s="1548"/>
      <c r="AS112" s="1559">
        <v>0</v>
      </c>
    </row>
    <row r="113" spans="1:45" s="1745" customFormat="1" ht="14.25" customHeight="1">
      <c r="A113" s="1287"/>
      <c r="B113" s="1287"/>
      <c r="C113" s="1287"/>
      <c r="D113" s="1287"/>
      <c r="E113" s="4034"/>
      <c r="F113" s="4034" t="s">
        <v>115</v>
      </c>
      <c r="G113" s="4034"/>
      <c r="H113" s="4033"/>
      <c r="I113" s="1287"/>
      <c r="J113" s="1287"/>
      <c r="K113" s="1287"/>
      <c r="L113" s="1293"/>
      <c r="M113" s="1289"/>
      <c r="N113" s="1289"/>
      <c r="O113" s="1290"/>
      <c r="P113" s="1718"/>
      <c r="Q113" s="309"/>
      <c r="R113" s="289"/>
      <c r="S113" s="1310"/>
      <c r="T113" s="1311"/>
      <c r="U113" s="1312"/>
      <c r="V113" s="1312"/>
      <c r="W113" s="1312"/>
      <c r="X113" s="1312"/>
      <c r="Y113" s="1312"/>
      <c r="Z113" s="1312"/>
      <c r="AA113" s="1312"/>
      <c r="AB113" s="1312"/>
      <c r="AC113" s="1312"/>
      <c r="AD113" s="1312"/>
      <c r="AE113" s="1312"/>
      <c r="AF113" s="1312"/>
      <c r="AG113" s="1312"/>
      <c r="AH113" s="1312"/>
      <c r="AI113" s="1312"/>
      <c r="AJ113" s="1312"/>
      <c r="AK113" s="1312"/>
      <c r="AL113" s="1312"/>
      <c r="AM113" s="1313"/>
      <c r="AN113" s="1566"/>
      <c r="AO113" s="1548"/>
      <c r="AP113" s="1548" t="str">
        <f t="shared" si="2"/>
        <v/>
      </c>
      <c r="AQ113" s="1548"/>
      <c r="AR113" s="1548"/>
      <c r="AS113" s="1559">
        <v>0</v>
      </c>
    </row>
    <row r="114" spans="1:45" s="556" customFormat="1" ht="0.75" customHeight="1">
      <c r="A114" s="1267"/>
      <c r="B114" s="1267"/>
      <c r="C114" s="1267"/>
      <c r="D114" s="1267"/>
      <c r="E114" s="4034"/>
      <c r="F114" s="4034" t="s">
        <v>115</v>
      </c>
      <c r="G114" s="4033"/>
      <c r="H114" s="1267"/>
      <c r="I114" s="1267"/>
      <c r="J114" s="1267"/>
      <c r="K114" s="1267"/>
      <c r="L114" s="1469"/>
      <c r="M114" s="1239"/>
      <c r="N114" s="1239"/>
      <c r="O114" s="1566"/>
      <c r="P114" s="1240"/>
      <c r="Q114" s="1268"/>
      <c r="R114" s="1240"/>
      <c r="S114" s="1242"/>
      <c r="T114" s="1243" t="s">
        <v>235</v>
      </c>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566"/>
      <c r="AO114" s="1548"/>
      <c r="AP114" s="1548" t="str">
        <f t="shared" si="2"/>
        <v>Добавить источник для дифференциации</v>
      </c>
      <c r="AQ114" s="1548"/>
      <c r="AR114" s="1548"/>
      <c r="AS114" s="1566">
        <v>0</v>
      </c>
    </row>
    <row r="115" spans="1:45" s="556" customFormat="1" ht="0.75" customHeight="1">
      <c r="A115" s="1267"/>
      <c r="B115" s="1267"/>
      <c r="C115" s="1267"/>
      <c r="D115" s="1267"/>
      <c r="E115" s="4034"/>
      <c r="F115" s="4033" t="s">
        <v>115</v>
      </c>
      <c r="G115" s="1267"/>
      <c r="H115" s="1267"/>
      <c r="I115" s="1267"/>
      <c r="J115" s="1267"/>
      <c r="K115" s="1267"/>
      <c r="L115" s="1469"/>
      <c r="M115" s="1245"/>
      <c r="N115" s="1245"/>
      <c r="O115" s="1566"/>
      <c r="P115" s="1240"/>
      <c r="Q115" s="1268"/>
      <c r="R115" s="1240"/>
      <c r="S115" s="1246"/>
      <c r="T115" s="1247" t="s">
        <v>236</v>
      </c>
      <c r="U115" s="1248"/>
      <c r="V115" s="1248"/>
      <c r="W115" s="1248"/>
      <c r="X115" s="1248"/>
      <c r="Y115" s="1248"/>
      <c r="Z115" s="1248"/>
      <c r="AA115" s="1248"/>
      <c r="AB115" s="1248"/>
      <c r="AC115" s="1248"/>
      <c r="AD115" s="1248"/>
      <c r="AE115" s="1248"/>
      <c r="AF115" s="1248"/>
      <c r="AG115" s="1248"/>
      <c r="AH115" s="1248"/>
      <c r="AI115" s="1248"/>
      <c r="AJ115" s="1248"/>
      <c r="AK115" s="1248"/>
      <c r="AL115" s="1248"/>
      <c r="AM115" s="1248"/>
      <c r="AN115" s="1566"/>
      <c r="AO115" s="1548"/>
      <c r="AP115" s="1548" t="str">
        <f t="shared" si="2"/>
        <v>Добавить централизованную систему для дифференциации</v>
      </c>
      <c r="AQ115" s="1548"/>
      <c r="AR115" s="1548"/>
      <c r="AS115" s="1566">
        <v>0</v>
      </c>
    </row>
    <row r="116" spans="1:45" s="1745" customFormat="1" ht="21" customHeight="1">
      <c r="A116" s="1287"/>
      <c r="B116" s="1287" t="s">
        <v>318</v>
      </c>
      <c r="C116" s="1287"/>
      <c r="D116" s="1287"/>
      <c r="E116" s="4034"/>
      <c r="F116" s="4033" t="s">
        <v>80</v>
      </c>
      <c r="G116" s="1287"/>
      <c r="H116" s="1287"/>
      <c r="I116" s="1287"/>
      <c r="J116" s="1287"/>
      <c r="K116" s="1287"/>
      <c r="L116" s="1293"/>
      <c r="M116" s="1289"/>
      <c r="N116" s="1289"/>
      <c r="O116" s="1289"/>
      <c r="P116" s="1970"/>
      <c r="Q116" s="286"/>
      <c r="R116" s="287"/>
      <c r="S116" s="1972" t="str">
        <f>INDEX(PT_DIFFERENTIATION_NUM_TER,MATCH(B116,PT_DIFFERENTIATION_TER_ID,0))</f>
        <v>1.7</v>
      </c>
      <c r="T116" s="1446" t="s">
        <v>605</v>
      </c>
      <c r="U116" s="235"/>
      <c r="V116" s="4027"/>
      <c r="W116" s="4028"/>
      <c r="X116" s="4028"/>
      <c r="Y116" s="4028"/>
      <c r="Z116" s="4028"/>
      <c r="AA116" s="4028"/>
      <c r="AB116" s="4028"/>
      <c r="AC116" s="4029"/>
      <c r="AD116" s="4027" t="str">
        <f>INDEX(PT_DIFFERENTIATION_TER,MATCH(B116,PT_DIFFERENTIATION_TER_ID,0))</f>
        <v>Территория 17</v>
      </c>
      <c r="AE116" s="4028"/>
      <c r="AF116" s="4028"/>
      <c r="AG116" s="4028"/>
      <c r="AH116" s="4028"/>
      <c r="AI116" s="4028"/>
      <c r="AJ116" s="4028"/>
      <c r="AK116" s="4028"/>
      <c r="AL116" s="4029"/>
      <c r="AM116" s="1182" t="s">
        <v>606</v>
      </c>
      <c r="AN116" s="1566"/>
      <c r="AO116" s="1548"/>
      <c r="AP116" s="1548" t="str">
        <f t="shared" si="2"/>
        <v>Территория действия тарифа</v>
      </c>
      <c r="AQ116" s="1548"/>
      <c r="AR116" s="1548"/>
      <c r="AS116" s="1559">
        <v>0</v>
      </c>
    </row>
    <row r="117" spans="1:45" s="1745" customFormat="1" ht="23.25" customHeight="1">
      <c r="A117" s="1287"/>
      <c r="B117" s="1287"/>
      <c r="C117" s="1287" t="s">
        <v>319</v>
      </c>
      <c r="D117" s="1287"/>
      <c r="E117" s="4034"/>
      <c r="F117" s="4034" t="s">
        <v>79</v>
      </c>
      <c r="G117" s="4033">
        <v>1</v>
      </c>
      <c r="H117" s="1287"/>
      <c r="I117" s="1287"/>
      <c r="J117" s="1287"/>
      <c r="K117" s="1287"/>
      <c r="L117" s="1293"/>
      <c r="M117" s="1289"/>
      <c r="N117" s="1289"/>
      <c r="O117" s="1289"/>
      <c r="P117" s="288"/>
      <c r="Q117" s="286"/>
      <c r="R117" s="287"/>
      <c r="S117" s="1972" t="str">
        <f>INDEX(PT_DIFFERENTIATION_NUM_CS,MATCH(C117,PT_DIFFERENTIATION_CS_ID,0))</f>
        <v>1.7.1</v>
      </c>
      <c r="T117" s="244" t="s">
        <v>607</v>
      </c>
      <c r="U117" s="235"/>
      <c r="V117" s="4027"/>
      <c r="W117" s="4028"/>
      <c r="X117" s="4028"/>
      <c r="Y117" s="4028"/>
      <c r="Z117" s="4028"/>
      <c r="AA117" s="4028"/>
      <c r="AB117" s="4028"/>
      <c r="AC117" s="4029"/>
      <c r="AD117" s="4027" t="str">
        <f>INDEX(PT_DIFFERENTIATION_CS,MATCH(C117,PT_DIFFERENTIATION_CS_ID,0))</f>
        <v>Починковский ТУ</v>
      </c>
      <c r="AE117" s="4028"/>
      <c r="AF117" s="4028"/>
      <c r="AG117" s="4028"/>
      <c r="AH117" s="4028"/>
      <c r="AI117" s="4028"/>
      <c r="AJ117" s="4028"/>
      <c r="AK117" s="4028"/>
      <c r="AL117" s="4029"/>
      <c r="AM117" s="1182" t="s">
        <v>608</v>
      </c>
      <c r="AN117" s="1566"/>
      <c r="AO117" s="1548"/>
      <c r="AP117" s="1548" t="str">
        <f t="shared" si="2"/>
        <v xml:space="preserve">Наименование системы теплоснабжения </v>
      </c>
      <c r="AQ117" s="1548"/>
      <c r="AR117" s="1548"/>
      <c r="AS117" s="1559">
        <v>0</v>
      </c>
    </row>
    <row r="118" spans="1:45" s="1745" customFormat="1" ht="21" customHeight="1">
      <c r="A118" s="1287"/>
      <c r="B118" s="1287"/>
      <c r="C118" s="1287"/>
      <c r="D118" s="1287" t="s">
        <v>320</v>
      </c>
      <c r="E118" s="4034"/>
      <c r="F118" s="4034" t="s">
        <v>79</v>
      </c>
      <c r="G118" s="4034"/>
      <c r="H118" s="4033">
        <v>1</v>
      </c>
      <c r="I118" s="1287"/>
      <c r="J118" s="1287"/>
      <c r="K118" s="1287"/>
      <c r="L118" s="1293"/>
      <c r="M118" s="1289"/>
      <c r="N118" s="1289"/>
      <c r="O118" s="1289"/>
      <c r="P118" s="288"/>
      <c r="Q118" s="286"/>
      <c r="R118" s="287"/>
      <c r="S118" s="1972" t="str">
        <f>INDEX(PT_DIFFERENTIATION_NUM_IST_TE,MATCH(D118,PT_DIFFERENTIATION_IST_TE_ID,0))</f>
        <v>1.7.1.1</v>
      </c>
      <c r="T118" s="245" t="s">
        <v>609</v>
      </c>
      <c r="U118" s="235"/>
      <c r="V118" s="4027"/>
      <c r="W118" s="4028"/>
      <c r="X118" s="4028"/>
      <c r="Y118" s="4028"/>
      <c r="Z118" s="4028"/>
      <c r="AA118" s="4028"/>
      <c r="AB118" s="4028"/>
      <c r="AC118" s="4029"/>
      <c r="AD118" s="4027" t="str">
        <f>INDEX(PT_DIFFERENTIATION_IST_TE,MATCH(D118,PT_DIFFERENTIATION_IST_TE_ID,0))</f>
        <v>без дифференциации</v>
      </c>
      <c r="AE118" s="4028"/>
      <c r="AF118" s="4028"/>
      <c r="AG118" s="4028"/>
      <c r="AH118" s="4028"/>
      <c r="AI118" s="4028"/>
      <c r="AJ118" s="4028"/>
      <c r="AK118" s="4028"/>
      <c r="AL118" s="4029"/>
      <c r="AM118" s="1182" t="s">
        <v>610</v>
      </c>
      <c r="AN118" s="1566"/>
      <c r="AO118" s="1548"/>
      <c r="AP118" s="1548" t="str">
        <f t="shared" si="2"/>
        <v xml:space="preserve">Источник тепловой энергии  </v>
      </c>
      <c r="AQ118" s="1548"/>
      <c r="AR118" s="1548"/>
      <c r="AS118" s="1559">
        <v>0</v>
      </c>
    </row>
    <row r="119" spans="1:45" s="1745" customFormat="1" ht="14.25" customHeight="1">
      <c r="A119" s="1287"/>
      <c r="B119" s="1287"/>
      <c r="C119" s="1287"/>
      <c r="D119" s="1287"/>
      <c r="E119" s="4034"/>
      <c r="F119" s="4034" t="s">
        <v>79</v>
      </c>
      <c r="G119" s="4034"/>
      <c r="H119" s="4034"/>
      <c r="I119" s="4035" t="str">
        <f>S118&amp;".1"</f>
        <v>1.7.1.1.1</v>
      </c>
      <c r="J119" s="1287"/>
      <c r="K119" s="1287"/>
      <c r="L119" s="1293" t="s">
        <v>611</v>
      </c>
      <c r="M119" s="1290"/>
      <c r="N119" s="1672"/>
      <c r="O119" s="1672"/>
      <c r="P119" s="4037">
        <v>1</v>
      </c>
      <c r="Q119" s="1974"/>
      <c r="R119" s="290"/>
      <c r="S119" s="1973"/>
      <c r="T119" s="1307"/>
      <c r="U119" s="1308"/>
      <c r="V119" s="4064"/>
      <c r="W119" s="4065"/>
      <c r="X119" s="4065"/>
      <c r="Y119" s="4065"/>
      <c r="Z119" s="4065"/>
      <c r="AA119" s="4065"/>
      <c r="AB119" s="4065"/>
      <c r="AC119" s="4066"/>
      <c r="AD119" s="4064"/>
      <c r="AE119" s="4065"/>
      <c r="AF119" s="4065"/>
      <c r="AG119" s="4065"/>
      <c r="AH119" s="4065"/>
      <c r="AI119" s="4065"/>
      <c r="AJ119" s="4065"/>
      <c r="AK119" s="4065"/>
      <c r="AL119" s="4066"/>
      <c r="AM119" s="1309"/>
      <c r="AN119" s="1566"/>
      <c r="AO119" s="1548"/>
      <c r="AP119" s="1548" t="str">
        <f t="shared" si="2"/>
        <v/>
      </c>
      <c r="AQ119" s="1548"/>
      <c r="AR119" s="1548"/>
      <c r="AS119" s="1559">
        <v>0</v>
      </c>
    </row>
    <row r="120" spans="1:45" s="1745" customFormat="1" ht="21" customHeight="1">
      <c r="A120" s="1287"/>
      <c r="B120" s="1287"/>
      <c r="C120" s="1287"/>
      <c r="D120" s="1287"/>
      <c r="E120" s="4034"/>
      <c r="F120" s="4034" t="s">
        <v>79</v>
      </c>
      <c r="G120" s="4034"/>
      <c r="H120" s="4034"/>
      <c r="I120" s="4036"/>
      <c r="J120" s="4035" t="str">
        <f>I119&amp;".1"</f>
        <v>1.7.1.1.1.1</v>
      </c>
      <c r="K120" s="1287"/>
      <c r="L120" s="1293" t="s">
        <v>614</v>
      </c>
      <c r="M120" s="1290"/>
      <c r="N120" s="1290"/>
      <c r="O120" s="1672"/>
      <c r="P120" s="4037"/>
      <c r="Q120" s="4037">
        <v>1</v>
      </c>
      <c r="R120" s="291"/>
      <c r="S120" s="1972" t="str">
        <f>$J120</f>
        <v>1.7.1.1.1.1</v>
      </c>
      <c r="T120" s="221" t="s">
        <v>615</v>
      </c>
      <c r="U120" s="235"/>
      <c r="V120" s="4021"/>
      <c r="W120" s="4022"/>
      <c r="X120" s="4022"/>
      <c r="Y120" s="4022"/>
      <c r="Z120" s="4022"/>
      <c r="AA120" s="4022"/>
      <c r="AB120" s="4022"/>
      <c r="AC120" s="4023"/>
      <c r="AD120" s="4021" t="s">
        <v>654</v>
      </c>
      <c r="AE120" s="4022"/>
      <c r="AF120" s="4022"/>
      <c r="AG120" s="4022"/>
      <c r="AH120" s="4022"/>
      <c r="AI120" s="4022"/>
      <c r="AJ120" s="4022"/>
      <c r="AK120" s="4022"/>
      <c r="AL120" s="4023"/>
      <c r="AM120" s="1182" t="s">
        <v>616</v>
      </c>
      <c r="AN120" s="1566"/>
      <c r="AO120" s="1548"/>
      <c r="AP120" s="1548" t="str">
        <f t="shared" si="2"/>
        <v>Группа потребителей</v>
      </c>
      <c r="AQ120" s="1548"/>
      <c r="AR120" s="1548"/>
      <c r="AS120" s="1559">
        <v>0</v>
      </c>
    </row>
    <row r="121" spans="1:45" s="1745" customFormat="1" ht="21" customHeight="1">
      <c r="A121" s="1287"/>
      <c r="B121" s="1287"/>
      <c r="C121" s="1287"/>
      <c r="D121" s="1287"/>
      <c r="E121" s="4034"/>
      <c r="F121" s="4034" t="s">
        <v>79</v>
      </c>
      <c r="G121" s="4034"/>
      <c r="H121" s="4034"/>
      <c r="I121" s="4036"/>
      <c r="J121" s="4036"/>
      <c r="K121" s="4035" t="str">
        <f>J120&amp;".1"</f>
        <v>1.7.1.1.1.1.1</v>
      </c>
      <c r="L121" s="1293" t="s">
        <v>617</v>
      </c>
      <c r="M121" s="1290"/>
      <c r="N121" s="1290"/>
      <c r="O121" s="1290"/>
      <c r="P121" s="4037"/>
      <c r="Q121" s="4037"/>
      <c r="R121" s="291">
        <v>1</v>
      </c>
      <c r="S121" s="1972" t="str">
        <f>$K121</f>
        <v>1.7.1.1.1.1.1</v>
      </c>
      <c r="T121" s="1271" t="s">
        <v>656</v>
      </c>
      <c r="U121" s="235"/>
      <c r="V121" s="685"/>
      <c r="W121" s="260"/>
      <c r="X121" s="685"/>
      <c r="Y121" s="1181"/>
      <c r="Z121" s="4038"/>
      <c r="AA121" s="3899" t="s">
        <v>53</v>
      </c>
      <c r="AB121" s="4038"/>
      <c r="AC121" s="3899" t="s">
        <v>53</v>
      </c>
      <c r="AD121" s="685">
        <v>575.24</v>
      </c>
      <c r="AE121" s="260"/>
      <c r="AF121" s="685"/>
      <c r="AG121" s="1181"/>
      <c r="AH121" s="4038">
        <v>46023.348726851851</v>
      </c>
      <c r="AI121" s="3899" t="s">
        <v>53</v>
      </c>
      <c r="AJ121" s="4038">
        <v>46387.34883101852</v>
      </c>
      <c r="AK121" s="3899" t="s">
        <v>53</v>
      </c>
      <c r="AL121" s="260"/>
      <c r="AM121" s="4056" t="s">
        <v>618</v>
      </c>
      <c r="AN121" s="1566" t="e">
        <f ca="1">STRCHECKDATE(V122:AL122)</f>
        <v>#NAME?</v>
      </c>
      <c r="AO121" s="1548"/>
      <c r="AP121" s="1548" t="str">
        <f t="shared" si="2"/>
        <v>вода</v>
      </c>
      <c r="AQ121" s="1548"/>
      <c r="AR121" s="1548"/>
      <c r="AS121" s="1559">
        <v>0</v>
      </c>
    </row>
    <row r="122" spans="1:45" s="1745" customFormat="1" ht="0.75" customHeight="1">
      <c r="A122" s="1287"/>
      <c r="B122" s="1287"/>
      <c r="C122" s="1287"/>
      <c r="D122" s="1287"/>
      <c r="E122" s="4034"/>
      <c r="F122" s="4034" t="s">
        <v>79</v>
      </c>
      <c r="G122" s="4034"/>
      <c r="H122" s="4034"/>
      <c r="I122" s="4036"/>
      <c r="J122" s="4036"/>
      <c r="K122" s="4035"/>
      <c r="L122" s="1293"/>
      <c r="M122" s="1290"/>
      <c r="N122" s="1290"/>
      <c r="O122" s="1290"/>
      <c r="P122" s="4037"/>
      <c r="Q122" s="4037"/>
      <c r="R122" s="291"/>
      <c r="S122" s="1978"/>
      <c r="T122" s="235"/>
      <c r="U122" s="235"/>
      <c r="V122" s="260"/>
      <c r="W122" s="260"/>
      <c r="X122" s="260"/>
      <c r="Y122" s="263" t="str">
        <f>Z121&amp;"-"&amp;AB121</f>
        <v>-</v>
      </c>
      <c r="Z122" s="4039"/>
      <c r="AA122" s="3899"/>
      <c r="AB122" s="4039"/>
      <c r="AC122" s="3899"/>
      <c r="AD122" s="260"/>
      <c r="AE122" s="260"/>
      <c r="AF122" s="260"/>
      <c r="AG122" s="263" t="str">
        <f>AH121&amp;"-"&amp;AJ121</f>
        <v>46023,3487268519-46387,3488310185</v>
      </c>
      <c r="AH122" s="4039"/>
      <c r="AI122" s="3899"/>
      <c r="AJ122" s="4039"/>
      <c r="AK122" s="3899"/>
      <c r="AL122" s="260"/>
      <c r="AM122" s="4057"/>
      <c r="AN122" s="1566"/>
      <c r="AO122" s="1548"/>
      <c r="AP122" s="1548" t="str">
        <f t="shared" si="2"/>
        <v/>
      </c>
      <c r="AQ122" s="1548"/>
      <c r="AR122" s="1548"/>
      <c r="AS122" s="1559">
        <v>0</v>
      </c>
    </row>
    <row r="123" spans="1:45" s="1745" customFormat="1" ht="15" customHeight="1">
      <c r="A123" s="1287"/>
      <c r="B123" s="1287"/>
      <c r="C123" s="1287"/>
      <c r="D123" s="1287"/>
      <c r="E123" s="4034"/>
      <c r="F123" s="4034" t="s">
        <v>79</v>
      </c>
      <c r="G123" s="4034"/>
      <c r="H123" s="4034"/>
      <c r="I123" s="4036"/>
      <c r="J123" s="4035"/>
      <c r="K123" s="1287"/>
      <c r="L123" s="1293"/>
      <c r="M123" s="1290"/>
      <c r="N123" s="1290"/>
      <c r="O123" s="1672"/>
      <c r="P123" s="4037"/>
      <c r="Q123" s="4037"/>
      <c r="R123" s="290"/>
      <c r="S123" s="3126"/>
      <c r="T123" s="3127" t="s">
        <v>619</v>
      </c>
      <c r="U123" s="3128"/>
      <c r="V123" s="3129"/>
      <c r="W123" s="3130"/>
      <c r="X123" s="3131"/>
      <c r="Y123" s="3132"/>
      <c r="Z123" s="3133"/>
      <c r="AA123" s="3134"/>
      <c r="AB123" s="3135"/>
      <c r="AC123" s="3136"/>
      <c r="AD123" s="3137"/>
      <c r="AE123" s="3138"/>
      <c r="AF123" s="3139"/>
      <c r="AG123" s="3140"/>
      <c r="AH123" s="3141"/>
      <c r="AI123" s="3142"/>
      <c r="AJ123" s="3143"/>
      <c r="AK123" s="3144"/>
      <c r="AL123" s="3145"/>
      <c r="AM123" s="4058"/>
      <c r="AN123" s="1566"/>
      <c r="AO123" s="1548"/>
      <c r="AP123" s="1548" t="str">
        <f t="shared" si="2"/>
        <v>Добавить вид теплоносителя (параметры теплоносителя)</v>
      </c>
      <c r="AQ123" s="1548"/>
      <c r="AR123" s="1548"/>
      <c r="AS123" s="1559">
        <v>0</v>
      </c>
    </row>
    <row r="124" spans="1:45" s="1745" customFormat="1" ht="15" customHeight="1">
      <c r="A124" s="1287"/>
      <c r="B124" s="1287"/>
      <c r="C124" s="1287"/>
      <c r="D124" s="1287"/>
      <c r="E124" s="4034"/>
      <c r="F124" s="4034" t="s">
        <v>79</v>
      </c>
      <c r="G124" s="4034"/>
      <c r="H124" s="4034"/>
      <c r="I124" s="4035"/>
      <c r="J124" s="1287"/>
      <c r="K124" s="1287"/>
      <c r="L124" s="1293"/>
      <c r="M124" s="1290"/>
      <c r="N124" s="1672"/>
      <c r="O124" s="1672"/>
      <c r="P124" s="4037"/>
      <c r="Q124" s="1974"/>
      <c r="R124" s="290"/>
      <c r="S124" s="3146"/>
      <c r="T124" s="3147" t="s">
        <v>620</v>
      </c>
      <c r="U124" s="3148"/>
      <c r="V124" s="3149"/>
      <c r="W124" s="3150"/>
      <c r="X124" s="3151"/>
      <c r="Y124" s="3152"/>
      <c r="Z124" s="3153"/>
      <c r="AA124" s="3154"/>
      <c r="AB124" s="3155"/>
      <c r="AC124" s="3156"/>
      <c r="AD124" s="3157"/>
      <c r="AE124" s="3158"/>
      <c r="AF124" s="3159"/>
      <c r="AG124" s="3160"/>
      <c r="AH124" s="3161"/>
      <c r="AI124" s="3162"/>
      <c r="AJ124" s="3163"/>
      <c r="AK124" s="3164"/>
      <c r="AL124" s="3165"/>
      <c r="AM124" s="3166"/>
      <c r="AN124" s="1566"/>
      <c r="AO124" s="1548"/>
      <c r="AP124" s="1548" t="str">
        <f t="shared" si="2"/>
        <v>Добавить группу потребителей</v>
      </c>
      <c r="AQ124" s="1548"/>
      <c r="AR124" s="1548"/>
      <c r="AS124" s="1559">
        <v>0</v>
      </c>
    </row>
    <row r="125" spans="1:45" s="1745" customFormat="1" ht="14.25" customHeight="1">
      <c r="A125" s="1287"/>
      <c r="B125" s="1287"/>
      <c r="C125" s="1287"/>
      <c r="D125" s="1287"/>
      <c r="E125" s="4034"/>
      <c r="F125" s="4034" t="s">
        <v>79</v>
      </c>
      <c r="G125" s="4034"/>
      <c r="H125" s="4033"/>
      <c r="I125" s="1287"/>
      <c r="J125" s="1287"/>
      <c r="K125" s="1287"/>
      <c r="L125" s="1293"/>
      <c r="M125" s="1289"/>
      <c r="N125" s="1289"/>
      <c r="O125" s="1290"/>
      <c r="P125" s="1718"/>
      <c r="Q125" s="309"/>
      <c r="R125" s="289"/>
      <c r="S125" s="1310"/>
      <c r="T125" s="1311"/>
      <c r="U125" s="1312"/>
      <c r="V125" s="1312"/>
      <c r="W125" s="1312"/>
      <c r="X125" s="1312"/>
      <c r="Y125" s="1312"/>
      <c r="Z125" s="1312"/>
      <c r="AA125" s="1312"/>
      <c r="AB125" s="1312"/>
      <c r="AC125" s="1312"/>
      <c r="AD125" s="1312"/>
      <c r="AE125" s="1312"/>
      <c r="AF125" s="1312"/>
      <c r="AG125" s="1312"/>
      <c r="AH125" s="1312"/>
      <c r="AI125" s="1312"/>
      <c r="AJ125" s="1312"/>
      <c r="AK125" s="1312"/>
      <c r="AL125" s="1312"/>
      <c r="AM125" s="1313"/>
      <c r="AN125" s="1566"/>
      <c r="AO125" s="1548"/>
      <c r="AP125" s="1548" t="str">
        <f t="shared" si="2"/>
        <v/>
      </c>
      <c r="AQ125" s="1548"/>
      <c r="AR125" s="1548"/>
      <c r="AS125" s="1559">
        <v>0</v>
      </c>
    </row>
    <row r="126" spans="1:45" s="556" customFormat="1" ht="0.75" customHeight="1">
      <c r="A126" s="1267"/>
      <c r="B126" s="1267"/>
      <c r="C126" s="1267"/>
      <c r="D126" s="1267"/>
      <c r="E126" s="4034"/>
      <c r="F126" s="4034" t="s">
        <v>79</v>
      </c>
      <c r="G126" s="4033"/>
      <c r="H126" s="1267"/>
      <c r="I126" s="1267"/>
      <c r="J126" s="1267"/>
      <c r="K126" s="1267"/>
      <c r="L126" s="1469"/>
      <c r="M126" s="1239"/>
      <c r="N126" s="1239"/>
      <c r="O126" s="1566"/>
      <c r="P126" s="1240"/>
      <c r="Q126" s="1268"/>
      <c r="R126" s="1240"/>
      <c r="S126" s="1242"/>
      <c r="T126" s="1243" t="s">
        <v>235</v>
      </c>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566"/>
      <c r="AO126" s="1548"/>
      <c r="AP126" s="1548" t="str">
        <f t="shared" si="2"/>
        <v>Добавить источник для дифференциации</v>
      </c>
      <c r="AQ126" s="1548"/>
      <c r="AR126" s="1548"/>
      <c r="AS126" s="1566">
        <v>0</v>
      </c>
    </row>
    <row r="127" spans="1:45" s="556" customFormat="1" ht="0.75" customHeight="1">
      <c r="A127" s="1267"/>
      <c r="B127" s="1267"/>
      <c r="C127" s="1267"/>
      <c r="D127" s="1267"/>
      <c r="E127" s="4034"/>
      <c r="F127" s="4033" t="s">
        <v>79</v>
      </c>
      <c r="G127" s="1267"/>
      <c r="H127" s="1267"/>
      <c r="I127" s="1267"/>
      <c r="J127" s="1267"/>
      <c r="K127" s="1267"/>
      <c r="L127" s="1469"/>
      <c r="M127" s="1245"/>
      <c r="N127" s="1245"/>
      <c r="O127" s="1566"/>
      <c r="P127" s="1240"/>
      <c r="Q127" s="1268"/>
      <c r="R127" s="1240"/>
      <c r="S127" s="1246"/>
      <c r="T127" s="1247" t="s">
        <v>236</v>
      </c>
      <c r="U127" s="1248"/>
      <c r="V127" s="1248"/>
      <c r="W127" s="1248"/>
      <c r="X127" s="1248"/>
      <c r="Y127" s="1248"/>
      <c r="Z127" s="1248"/>
      <c r="AA127" s="1248"/>
      <c r="AB127" s="1248"/>
      <c r="AC127" s="1248"/>
      <c r="AD127" s="1248"/>
      <c r="AE127" s="1248"/>
      <c r="AF127" s="1248"/>
      <c r="AG127" s="1248"/>
      <c r="AH127" s="1248"/>
      <c r="AI127" s="1248"/>
      <c r="AJ127" s="1248"/>
      <c r="AK127" s="1248"/>
      <c r="AL127" s="1248"/>
      <c r="AM127" s="1248"/>
      <c r="AN127" s="1566"/>
      <c r="AO127" s="1548"/>
      <c r="AP127" s="1548" t="str">
        <f t="shared" si="2"/>
        <v>Добавить централизованную систему для дифференциации</v>
      </c>
      <c r="AQ127" s="1548"/>
      <c r="AR127" s="1548"/>
      <c r="AS127" s="1566">
        <v>0</v>
      </c>
    </row>
    <row r="128" spans="1:45" s="1745" customFormat="1" ht="21" customHeight="1">
      <c r="A128" s="1287"/>
      <c r="B128" s="1287" t="s">
        <v>322</v>
      </c>
      <c r="C128" s="1287"/>
      <c r="D128" s="1287"/>
      <c r="E128" s="4034"/>
      <c r="F128" s="4033" t="s">
        <v>134</v>
      </c>
      <c r="G128" s="1287"/>
      <c r="H128" s="1287"/>
      <c r="I128" s="1287"/>
      <c r="J128" s="1287"/>
      <c r="K128" s="1287"/>
      <c r="L128" s="1293"/>
      <c r="M128" s="1289"/>
      <c r="N128" s="1289"/>
      <c r="O128" s="1289"/>
      <c r="P128" s="1970"/>
      <c r="Q128" s="286"/>
      <c r="R128" s="287"/>
      <c r="S128" s="1972" t="str">
        <f>INDEX(PT_DIFFERENTIATION_NUM_TER,MATCH(B128,PT_DIFFERENTIATION_TER_ID,0))</f>
        <v>1.8</v>
      </c>
      <c r="T128" s="1446" t="s">
        <v>605</v>
      </c>
      <c r="U128" s="235"/>
      <c r="V128" s="4027"/>
      <c r="W128" s="4028"/>
      <c r="X128" s="4028"/>
      <c r="Y128" s="4028"/>
      <c r="Z128" s="4028"/>
      <c r="AA128" s="4028"/>
      <c r="AB128" s="4028"/>
      <c r="AC128" s="4029"/>
      <c r="AD128" s="4027" t="str">
        <f>INDEX(PT_DIFFERENTIATION_TER,MATCH(B128,PT_DIFFERENTIATION_TER_ID,0))</f>
        <v>Территория 18</v>
      </c>
      <c r="AE128" s="4028"/>
      <c r="AF128" s="4028"/>
      <c r="AG128" s="4028"/>
      <c r="AH128" s="4028"/>
      <c r="AI128" s="4028"/>
      <c r="AJ128" s="4028"/>
      <c r="AK128" s="4028"/>
      <c r="AL128" s="4029"/>
      <c r="AM128" s="1182" t="s">
        <v>606</v>
      </c>
      <c r="AN128" s="1566"/>
      <c r="AO128" s="1548"/>
      <c r="AP128" s="1548" t="str">
        <f t="shared" si="2"/>
        <v>Территория действия тарифа</v>
      </c>
      <c r="AQ128" s="1548"/>
      <c r="AR128" s="1548"/>
      <c r="AS128" s="1559">
        <v>0</v>
      </c>
    </row>
    <row r="129" spans="1:45" s="1745" customFormat="1" ht="23.25" customHeight="1">
      <c r="A129" s="1287"/>
      <c r="B129" s="1287"/>
      <c r="C129" s="1287" t="s">
        <v>323</v>
      </c>
      <c r="D129" s="1287"/>
      <c r="E129" s="4034"/>
      <c r="F129" s="4034" t="s">
        <v>80</v>
      </c>
      <c r="G129" s="4033">
        <v>1</v>
      </c>
      <c r="H129" s="1287"/>
      <c r="I129" s="1287"/>
      <c r="J129" s="1287"/>
      <c r="K129" s="1287"/>
      <c r="L129" s="1293"/>
      <c r="M129" s="1289"/>
      <c r="N129" s="1289"/>
      <c r="O129" s="1289"/>
      <c r="P129" s="288"/>
      <c r="Q129" s="286"/>
      <c r="R129" s="287"/>
      <c r="S129" s="1972" t="str">
        <f>INDEX(PT_DIFFERENTIATION_NUM_CS,MATCH(C129,PT_DIFFERENTIATION_CS_ID,0))</f>
        <v>1.8.1</v>
      </c>
      <c r="T129" s="244" t="s">
        <v>607</v>
      </c>
      <c r="U129" s="235"/>
      <c r="V129" s="4027"/>
      <c r="W129" s="4028"/>
      <c r="X129" s="4028"/>
      <c r="Y129" s="4028"/>
      <c r="Z129" s="4028"/>
      <c r="AA129" s="4028"/>
      <c r="AB129" s="4028"/>
      <c r="AC129" s="4029"/>
      <c r="AD129" s="4027" t="str">
        <f>INDEX(PT_DIFFERENTIATION_CS,MATCH(C129,PT_DIFFERENTIATION_CS_ID,0))</f>
        <v>Ершичский ТУ</v>
      </c>
      <c r="AE129" s="4028"/>
      <c r="AF129" s="4028"/>
      <c r="AG129" s="4028"/>
      <c r="AH129" s="4028"/>
      <c r="AI129" s="4028"/>
      <c r="AJ129" s="4028"/>
      <c r="AK129" s="4028"/>
      <c r="AL129" s="4029"/>
      <c r="AM129" s="1182" t="s">
        <v>608</v>
      </c>
      <c r="AN129" s="1566"/>
      <c r="AO129" s="1548"/>
      <c r="AP129" s="1548" t="str">
        <f t="shared" si="2"/>
        <v xml:space="preserve">Наименование системы теплоснабжения </v>
      </c>
      <c r="AQ129" s="1548"/>
      <c r="AR129" s="1548"/>
      <c r="AS129" s="1559">
        <v>0</v>
      </c>
    </row>
    <row r="130" spans="1:45" s="1745" customFormat="1" ht="21" customHeight="1">
      <c r="A130" s="1287"/>
      <c r="B130" s="1287"/>
      <c r="C130" s="1287"/>
      <c r="D130" s="1287" t="s">
        <v>324</v>
      </c>
      <c r="E130" s="4034"/>
      <c r="F130" s="4034" t="s">
        <v>80</v>
      </c>
      <c r="G130" s="4034"/>
      <c r="H130" s="4033">
        <v>1</v>
      </c>
      <c r="I130" s="1287"/>
      <c r="J130" s="1287"/>
      <c r="K130" s="1287"/>
      <c r="L130" s="1293"/>
      <c r="M130" s="1289"/>
      <c r="N130" s="1289"/>
      <c r="O130" s="1289"/>
      <c r="P130" s="288"/>
      <c r="Q130" s="286"/>
      <c r="R130" s="287"/>
      <c r="S130" s="1972" t="str">
        <f>INDEX(PT_DIFFERENTIATION_NUM_IST_TE,MATCH(D130,PT_DIFFERENTIATION_IST_TE_ID,0))</f>
        <v>1.8.1.1</v>
      </c>
      <c r="T130" s="245" t="s">
        <v>609</v>
      </c>
      <c r="U130" s="235"/>
      <c r="V130" s="4027"/>
      <c r="W130" s="4028"/>
      <c r="X130" s="4028"/>
      <c r="Y130" s="4028"/>
      <c r="Z130" s="4028"/>
      <c r="AA130" s="4028"/>
      <c r="AB130" s="4028"/>
      <c r="AC130" s="4029"/>
      <c r="AD130" s="4027" t="str">
        <f>INDEX(PT_DIFFERENTIATION_IST_TE,MATCH(D130,PT_DIFFERENTIATION_IST_TE_ID,0))</f>
        <v>без дифференциации</v>
      </c>
      <c r="AE130" s="4028"/>
      <c r="AF130" s="4028"/>
      <c r="AG130" s="4028"/>
      <c r="AH130" s="4028"/>
      <c r="AI130" s="4028"/>
      <c r="AJ130" s="4028"/>
      <c r="AK130" s="4028"/>
      <c r="AL130" s="4029"/>
      <c r="AM130" s="1182" t="s">
        <v>610</v>
      </c>
      <c r="AN130" s="1566"/>
      <c r="AO130" s="1548"/>
      <c r="AP130" s="1548" t="str">
        <f t="shared" si="2"/>
        <v xml:space="preserve">Источник тепловой энергии  </v>
      </c>
      <c r="AQ130" s="1548"/>
      <c r="AR130" s="1548"/>
      <c r="AS130" s="1559">
        <v>0</v>
      </c>
    </row>
    <row r="131" spans="1:45" s="1745" customFormat="1" ht="14.25" customHeight="1">
      <c r="A131" s="1287"/>
      <c r="B131" s="1287"/>
      <c r="C131" s="1287"/>
      <c r="D131" s="1287"/>
      <c r="E131" s="4034"/>
      <c r="F131" s="4034" t="s">
        <v>80</v>
      </c>
      <c r="G131" s="4034"/>
      <c r="H131" s="4034"/>
      <c r="I131" s="4035" t="str">
        <f>S130&amp;".1"</f>
        <v>1.8.1.1.1</v>
      </c>
      <c r="J131" s="1287"/>
      <c r="K131" s="1287"/>
      <c r="L131" s="1293" t="s">
        <v>611</v>
      </c>
      <c r="M131" s="1290"/>
      <c r="N131" s="1672"/>
      <c r="O131" s="1672"/>
      <c r="P131" s="4037">
        <v>1</v>
      </c>
      <c r="Q131" s="1974"/>
      <c r="R131" s="290"/>
      <c r="S131" s="1973"/>
      <c r="T131" s="1307"/>
      <c r="U131" s="1308"/>
      <c r="V131" s="4064"/>
      <c r="W131" s="4065"/>
      <c r="X131" s="4065"/>
      <c r="Y131" s="4065"/>
      <c r="Z131" s="4065"/>
      <c r="AA131" s="4065"/>
      <c r="AB131" s="4065"/>
      <c r="AC131" s="4066"/>
      <c r="AD131" s="4064"/>
      <c r="AE131" s="4065"/>
      <c r="AF131" s="4065"/>
      <c r="AG131" s="4065"/>
      <c r="AH131" s="4065"/>
      <c r="AI131" s="4065"/>
      <c r="AJ131" s="4065"/>
      <c r="AK131" s="4065"/>
      <c r="AL131" s="4066"/>
      <c r="AM131" s="1309"/>
      <c r="AN131" s="1566"/>
      <c r="AO131" s="1548"/>
      <c r="AP131" s="1548" t="str">
        <f t="shared" si="2"/>
        <v/>
      </c>
      <c r="AQ131" s="1548"/>
      <c r="AR131" s="1548"/>
      <c r="AS131" s="1559">
        <v>0</v>
      </c>
    </row>
    <row r="132" spans="1:45" s="1745" customFormat="1" ht="21" customHeight="1">
      <c r="A132" s="1287"/>
      <c r="B132" s="1287"/>
      <c r="C132" s="1287"/>
      <c r="D132" s="1287"/>
      <c r="E132" s="4034"/>
      <c r="F132" s="4034" t="s">
        <v>80</v>
      </c>
      <c r="G132" s="4034"/>
      <c r="H132" s="4034"/>
      <c r="I132" s="4036"/>
      <c r="J132" s="4035" t="str">
        <f>I131&amp;".1"</f>
        <v>1.8.1.1.1.1</v>
      </c>
      <c r="K132" s="1287"/>
      <c r="L132" s="1293" t="s">
        <v>614</v>
      </c>
      <c r="M132" s="1290"/>
      <c r="N132" s="1290"/>
      <c r="O132" s="1672"/>
      <c r="P132" s="4037"/>
      <c r="Q132" s="4037">
        <v>1</v>
      </c>
      <c r="R132" s="291"/>
      <c r="S132" s="1972" t="str">
        <f>$J132</f>
        <v>1.8.1.1.1.1</v>
      </c>
      <c r="T132" s="221" t="s">
        <v>615</v>
      </c>
      <c r="U132" s="235"/>
      <c r="V132" s="4021"/>
      <c r="W132" s="4022"/>
      <c r="X132" s="4022"/>
      <c r="Y132" s="4022"/>
      <c r="Z132" s="4022"/>
      <c r="AA132" s="4022"/>
      <c r="AB132" s="4022"/>
      <c r="AC132" s="4023"/>
      <c r="AD132" s="4021" t="s">
        <v>654</v>
      </c>
      <c r="AE132" s="4022"/>
      <c r="AF132" s="4022"/>
      <c r="AG132" s="4022"/>
      <c r="AH132" s="4022"/>
      <c r="AI132" s="4022"/>
      <c r="AJ132" s="4022"/>
      <c r="AK132" s="4022"/>
      <c r="AL132" s="4023"/>
      <c r="AM132" s="1182" t="s">
        <v>616</v>
      </c>
      <c r="AN132" s="1566"/>
      <c r="AO132" s="1548"/>
      <c r="AP132" s="1548" t="str">
        <f t="shared" si="2"/>
        <v>Группа потребителей</v>
      </c>
      <c r="AQ132" s="1548"/>
      <c r="AR132" s="1548"/>
      <c r="AS132" s="1559">
        <v>0</v>
      </c>
    </row>
    <row r="133" spans="1:45" s="1745" customFormat="1" ht="21" customHeight="1">
      <c r="A133" s="1287"/>
      <c r="B133" s="1287"/>
      <c r="C133" s="1287"/>
      <c r="D133" s="1287"/>
      <c r="E133" s="4034"/>
      <c r="F133" s="4034" t="s">
        <v>80</v>
      </c>
      <c r="G133" s="4034"/>
      <c r="H133" s="4034"/>
      <c r="I133" s="4036"/>
      <c r="J133" s="4036"/>
      <c r="K133" s="4035" t="str">
        <f>J132&amp;".1"</f>
        <v>1.8.1.1.1.1.1</v>
      </c>
      <c r="L133" s="1293" t="s">
        <v>617</v>
      </c>
      <c r="M133" s="1290"/>
      <c r="N133" s="1290"/>
      <c r="O133" s="1290"/>
      <c r="P133" s="4037"/>
      <c r="Q133" s="4037"/>
      <c r="R133" s="291">
        <v>1</v>
      </c>
      <c r="S133" s="1972" t="str">
        <f>$K133</f>
        <v>1.8.1.1.1.1.1</v>
      </c>
      <c r="T133" s="1271" t="s">
        <v>656</v>
      </c>
      <c r="U133" s="235"/>
      <c r="V133" s="685"/>
      <c r="W133" s="260"/>
      <c r="X133" s="685"/>
      <c r="Y133" s="1181"/>
      <c r="Z133" s="4038"/>
      <c r="AA133" s="3899" t="s">
        <v>53</v>
      </c>
      <c r="AB133" s="4038"/>
      <c r="AC133" s="3899" t="s">
        <v>53</v>
      </c>
      <c r="AD133" s="685">
        <v>761.93</v>
      </c>
      <c r="AE133" s="260"/>
      <c r="AF133" s="685"/>
      <c r="AG133" s="1181"/>
      <c r="AH133" s="4038">
        <v>46023.450104166666</v>
      </c>
      <c r="AI133" s="3899" t="s">
        <v>53</v>
      </c>
      <c r="AJ133" s="4038">
        <v>46387.450173611112</v>
      </c>
      <c r="AK133" s="3899" t="s">
        <v>53</v>
      </c>
      <c r="AL133" s="260"/>
      <c r="AM133" s="4056" t="s">
        <v>618</v>
      </c>
      <c r="AN133" s="1566" t="e">
        <f ca="1">STRCHECKDATE(V134:AL134)</f>
        <v>#NAME?</v>
      </c>
      <c r="AO133" s="1548"/>
      <c r="AP133" s="1548" t="str">
        <f t="shared" si="2"/>
        <v>вода</v>
      </c>
      <c r="AQ133" s="1548"/>
      <c r="AR133" s="1548"/>
      <c r="AS133" s="1559">
        <v>0</v>
      </c>
    </row>
    <row r="134" spans="1:45" s="1745" customFormat="1" ht="0.75" customHeight="1">
      <c r="A134" s="1287"/>
      <c r="B134" s="1287"/>
      <c r="C134" s="1287"/>
      <c r="D134" s="1287"/>
      <c r="E134" s="4034"/>
      <c r="F134" s="4034" t="s">
        <v>80</v>
      </c>
      <c r="G134" s="4034"/>
      <c r="H134" s="4034"/>
      <c r="I134" s="4036"/>
      <c r="J134" s="4036"/>
      <c r="K134" s="4035"/>
      <c r="L134" s="1293"/>
      <c r="M134" s="1290"/>
      <c r="N134" s="1290"/>
      <c r="O134" s="1290"/>
      <c r="P134" s="4037"/>
      <c r="Q134" s="4037"/>
      <c r="R134" s="291"/>
      <c r="S134" s="1978"/>
      <c r="T134" s="235"/>
      <c r="U134" s="235"/>
      <c r="V134" s="260"/>
      <c r="W134" s="260"/>
      <c r="X134" s="260"/>
      <c r="Y134" s="263" t="str">
        <f>Z133&amp;"-"&amp;AB133</f>
        <v>-</v>
      </c>
      <c r="Z134" s="4039"/>
      <c r="AA134" s="3899"/>
      <c r="AB134" s="4039"/>
      <c r="AC134" s="3899"/>
      <c r="AD134" s="260"/>
      <c r="AE134" s="260"/>
      <c r="AF134" s="260"/>
      <c r="AG134" s="263" t="str">
        <f>AH133&amp;"-"&amp;AJ133</f>
        <v>46023,4501041667-46387,4501736111</v>
      </c>
      <c r="AH134" s="4039"/>
      <c r="AI134" s="3899"/>
      <c r="AJ134" s="4039"/>
      <c r="AK134" s="3899"/>
      <c r="AL134" s="260"/>
      <c r="AM134" s="4057"/>
      <c r="AN134" s="1566"/>
      <c r="AO134" s="1548"/>
      <c r="AP134" s="1548" t="str">
        <f t="shared" si="2"/>
        <v/>
      </c>
      <c r="AQ134" s="1548"/>
      <c r="AR134" s="1548"/>
      <c r="AS134" s="1559">
        <v>0</v>
      </c>
    </row>
    <row r="135" spans="1:45" s="1745" customFormat="1" ht="15" customHeight="1">
      <c r="A135" s="1287"/>
      <c r="B135" s="1287"/>
      <c r="C135" s="1287"/>
      <c r="D135" s="1287"/>
      <c r="E135" s="4034"/>
      <c r="F135" s="4034" t="s">
        <v>80</v>
      </c>
      <c r="G135" s="4034"/>
      <c r="H135" s="4034"/>
      <c r="I135" s="4036"/>
      <c r="J135" s="4035"/>
      <c r="K135" s="1287"/>
      <c r="L135" s="1293"/>
      <c r="M135" s="1290"/>
      <c r="N135" s="1290"/>
      <c r="O135" s="1672"/>
      <c r="P135" s="4037"/>
      <c r="Q135" s="4037"/>
      <c r="R135" s="290"/>
      <c r="S135" s="3167"/>
      <c r="T135" s="3168" t="s">
        <v>619</v>
      </c>
      <c r="U135" s="3169"/>
      <c r="V135" s="3170"/>
      <c r="W135" s="3171"/>
      <c r="X135" s="3172"/>
      <c r="Y135" s="3173"/>
      <c r="Z135" s="3174"/>
      <c r="AA135" s="3175"/>
      <c r="AB135" s="3176"/>
      <c r="AC135" s="3177"/>
      <c r="AD135" s="3178"/>
      <c r="AE135" s="3179"/>
      <c r="AF135" s="3180"/>
      <c r="AG135" s="3181"/>
      <c r="AH135" s="3182"/>
      <c r="AI135" s="3183"/>
      <c r="AJ135" s="3184"/>
      <c r="AK135" s="3185"/>
      <c r="AL135" s="3186"/>
      <c r="AM135" s="4058"/>
      <c r="AN135" s="1566"/>
      <c r="AO135" s="1548"/>
      <c r="AP135" s="1548" t="str">
        <f t="shared" si="2"/>
        <v>Добавить вид теплоносителя (параметры теплоносителя)</v>
      </c>
      <c r="AQ135" s="1548"/>
      <c r="AR135" s="1548"/>
      <c r="AS135" s="1559">
        <v>0</v>
      </c>
    </row>
    <row r="136" spans="1:45" s="1745" customFormat="1" ht="15" customHeight="1">
      <c r="A136" s="1287"/>
      <c r="B136" s="1287"/>
      <c r="C136" s="1287"/>
      <c r="D136" s="1287"/>
      <c r="E136" s="4034"/>
      <c r="F136" s="4034" t="s">
        <v>80</v>
      </c>
      <c r="G136" s="4034"/>
      <c r="H136" s="4034"/>
      <c r="I136" s="4035"/>
      <c r="J136" s="1287"/>
      <c r="K136" s="1287"/>
      <c r="L136" s="1293"/>
      <c r="M136" s="1290"/>
      <c r="N136" s="1672"/>
      <c r="O136" s="1672"/>
      <c r="P136" s="4037"/>
      <c r="Q136" s="1974"/>
      <c r="R136" s="290"/>
      <c r="S136" s="3187"/>
      <c r="T136" s="3188" t="s">
        <v>620</v>
      </c>
      <c r="U136" s="3189"/>
      <c r="V136" s="3190"/>
      <c r="W136" s="3191"/>
      <c r="X136" s="3192"/>
      <c r="Y136" s="3193"/>
      <c r="Z136" s="3194"/>
      <c r="AA136" s="3195"/>
      <c r="AB136" s="3196"/>
      <c r="AC136" s="3197"/>
      <c r="AD136" s="3198"/>
      <c r="AE136" s="3199"/>
      <c r="AF136" s="3200"/>
      <c r="AG136" s="3201"/>
      <c r="AH136" s="3202"/>
      <c r="AI136" s="3203"/>
      <c r="AJ136" s="3204"/>
      <c r="AK136" s="3205"/>
      <c r="AL136" s="3206"/>
      <c r="AM136" s="3207"/>
      <c r="AN136" s="1566"/>
      <c r="AO136" s="1548"/>
      <c r="AP136" s="1548" t="str">
        <f t="shared" si="2"/>
        <v>Добавить группу потребителей</v>
      </c>
      <c r="AQ136" s="1548"/>
      <c r="AR136" s="1548"/>
      <c r="AS136" s="1559">
        <v>0</v>
      </c>
    </row>
    <row r="137" spans="1:45" s="1745" customFormat="1" ht="14.25" customHeight="1">
      <c r="A137" s="1287"/>
      <c r="B137" s="1287"/>
      <c r="C137" s="1287"/>
      <c r="D137" s="1287"/>
      <c r="E137" s="4034"/>
      <c r="F137" s="4034" t="s">
        <v>80</v>
      </c>
      <c r="G137" s="4034"/>
      <c r="H137" s="4033"/>
      <c r="I137" s="1287"/>
      <c r="J137" s="1287"/>
      <c r="K137" s="1287"/>
      <c r="L137" s="1293"/>
      <c r="M137" s="1289"/>
      <c r="N137" s="1289"/>
      <c r="O137" s="1290"/>
      <c r="P137" s="1718"/>
      <c r="Q137" s="309"/>
      <c r="R137" s="289"/>
      <c r="S137" s="1310"/>
      <c r="T137" s="1311"/>
      <c r="U137" s="1312"/>
      <c r="V137" s="1312"/>
      <c r="W137" s="1312"/>
      <c r="X137" s="1312"/>
      <c r="Y137" s="1312"/>
      <c r="Z137" s="1312"/>
      <c r="AA137" s="1312"/>
      <c r="AB137" s="1312"/>
      <c r="AC137" s="1312"/>
      <c r="AD137" s="1312"/>
      <c r="AE137" s="1312"/>
      <c r="AF137" s="1312"/>
      <c r="AG137" s="1312"/>
      <c r="AH137" s="1312"/>
      <c r="AI137" s="1312"/>
      <c r="AJ137" s="1312"/>
      <c r="AK137" s="1312"/>
      <c r="AL137" s="1312"/>
      <c r="AM137" s="1313"/>
      <c r="AN137" s="1566"/>
      <c r="AO137" s="1548"/>
      <c r="AP137" s="1548" t="str">
        <f t="shared" si="2"/>
        <v/>
      </c>
      <c r="AQ137" s="1548"/>
      <c r="AR137" s="1548"/>
      <c r="AS137" s="1559">
        <v>0</v>
      </c>
    </row>
    <row r="138" spans="1:45" s="556" customFormat="1" ht="0.75" customHeight="1">
      <c r="A138" s="1267"/>
      <c r="B138" s="1267"/>
      <c r="C138" s="1267"/>
      <c r="D138" s="1267"/>
      <c r="E138" s="4034"/>
      <c r="F138" s="4034" t="s">
        <v>80</v>
      </c>
      <c r="G138" s="4033"/>
      <c r="H138" s="1267"/>
      <c r="I138" s="1267"/>
      <c r="J138" s="1267"/>
      <c r="K138" s="1267"/>
      <c r="L138" s="1469"/>
      <c r="M138" s="1239"/>
      <c r="N138" s="1239"/>
      <c r="O138" s="1566"/>
      <c r="P138" s="1240"/>
      <c r="Q138" s="1268"/>
      <c r="R138" s="1240"/>
      <c r="S138" s="1242"/>
      <c r="T138" s="1243" t="s">
        <v>235</v>
      </c>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566"/>
      <c r="AO138" s="1548"/>
      <c r="AP138" s="1548" t="str">
        <f t="shared" si="2"/>
        <v>Добавить источник для дифференциации</v>
      </c>
      <c r="AQ138" s="1548"/>
      <c r="AR138" s="1548"/>
      <c r="AS138" s="1566">
        <v>0</v>
      </c>
    </row>
    <row r="139" spans="1:45" s="556" customFormat="1" ht="0.75" customHeight="1">
      <c r="A139" s="1267"/>
      <c r="B139" s="1267"/>
      <c r="C139" s="1267"/>
      <c r="D139" s="1267"/>
      <c r="E139" s="4034"/>
      <c r="F139" s="4033" t="s">
        <v>80</v>
      </c>
      <c r="G139" s="1267"/>
      <c r="H139" s="1267"/>
      <c r="I139" s="1267"/>
      <c r="J139" s="1267"/>
      <c r="K139" s="1267"/>
      <c r="L139" s="1469"/>
      <c r="M139" s="1245"/>
      <c r="N139" s="1245"/>
      <c r="O139" s="1566"/>
      <c r="P139" s="1240"/>
      <c r="Q139" s="1268"/>
      <c r="R139" s="1240"/>
      <c r="S139" s="1246"/>
      <c r="T139" s="1247" t="s">
        <v>236</v>
      </c>
      <c r="U139" s="1248"/>
      <c r="V139" s="1248"/>
      <c r="W139" s="1248"/>
      <c r="X139" s="1248"/>
      <c r="Y139" s="1248"/>
      <c r="Z139" s="1248"/>
      <c r="AA139" s="1248"/>
      <c r="AB139" s="1248"/>
      <c r="AC139" s="1248"/>
      <c r="AD139" s="1248"/>
      <c r="AE139" s="1248"/>
      <c r="AF139" s="1248"/>
      <c r="AG139" s="1248"/>
      <c r="AH139" s="1248"/>
      <c r="AI139" s="1248"/>
      <c r="AJ139" s="1248"/>
      <c r="AK139" s="1248"/>
      <c r="AL139" s="1248"/>
      <c r="AM139" s="1248"/>
      <c r="AN139" s="1566"/>
      <c r="AO139" s="1548"/>
      <c r="AP139" s="1548" t="str">
        <f t="shared" si="2"/>
        <v>Добавить централизованную систему для дифференциации</v>
      </c>
      <c r="AQ139" s="1548"/>
      <c r="AR139" s="1548"/>
      <c r="AS139" s="1566">
        <v>0</v>
      </c>
    </row>
    <row r="140" spans="1:45" s="1745" customFormat="1" ht="21" customHeight="1">
      <c r="A140" s="1287"/>
      <c r="B140" s="1287" t="s">
        <v>326</v>
      </c>
      <c r="C140" s="1287"/>
      <c r="D140" s="1287"/>
      <c r="E140" s="4034"/>
      <c r="F140" s="4033" t="s">
        <v>136</v>
      </c>
      <c r="G140" s="1287"/>
      <c r="H140" s="1287"/>
      <c r="I140" s="1287"/>
      <c r="J140" s="1287"/>
      <c r="K140" s="1287"/>
      <c r="L140" s="1293"/>
      <c r="M140" s="1289"/>
      <c r="N140" s="1289"/>
      <c r="O140" s="1289"/>
      <c r="P140" s="1970"/>
      <c r="Q140" s="286"/>
      <c r="R140" s="287"/>
      <c r="S140" s="1972" t="str">
        <f>INDEX(PT_DIFFERENTIATION_NUM_TER,MATCH(B140,PT_DIFFERENTIATION_TER_ID,0))</f>
        <v>1.9</v>
      </c>
      <c r="T140" s="1446" t="s">
        <v>605</v>
      </c>
      <c r="U140" s="235"/>
      <c r="V140" s="4027"/>
      <c r="W140" s="4028"/>
      <c r="X140" s="4028"/>
      <c r="Y140" s="4028"/>
      <c r="Z140" s="4028"/>
      <c r="AA140" s="4028"/>
      <c r="AB140" s="4028"/>
      <c r="AC140" s="4029"/>
      <c r="AD140" s="4027" t="str">
        <f>INDEX(PT_DIFFERENTIATION_TER,MATCH(B140,PT_DIFFERENTIATION_TER_ID,0))</f>
        <v>Территория 19</v>
      </c>
      <c r="AE140" s="4028"/>
      <c r="AF140" s="4028"/>
      <c r="AG140" s="4028"/>
      <c r="AH140" s="4028"/>
      <c r="AI140" s="4028"/>
      <c r="AJ140" s="4028"/>
      <c r="AK140" s="4028"/>
      <c r="AL140" s="4029"/>
      <c r="AM140" s="1182" t="s">
        <v>606</v>
      </c>
      <c r="AN140" s="1566"/>
      <c r="AO140" s="1548"/>
      <c r="AP140" s="1548" t="str">
        <f t="shared" si="2"/>
        <v>Территория действия тарифа</v>
      </c>
      <c r="AQ140" s="1548"/>
      <c r="AR140" s="1548"/>
      <c r="AS140" s="1559">
        <v>0</v>
      </c>
    </row>
    <row r="141" spans="1:45" s="1745" customFormat="1" ht="23.25" customHeight="1">
      <c r="A141" s="1287"/>
      <c r="B141" s="1287"/>
      <c r="C141" s="1287" t="s">
        <v>327</v>
      </c>
      <c r="D141" s="1287"/>
      <c r="E141" s="4034"/>
      <c r="F141" s="4034" t="s">
        <v>134</v>
      </c>
      <c r="G141" s="4033">
        <v>1</v>
      </c>
      <c r="H141" s="1287"/>
      <c r="I141" s="1287"/>
      <c r="J141" s="1287"/>
      <c r="K141" s="1287"/>
      <c r="L141" s="1293"/>
      <c r="M141" s="1289"/>
      <c r="N141" s="1289"/>
      <c r="O141" s="1289"/>
      <c r="P141" s="288"/>
      <c r="Q141" s="286"/>
      <c r="R141" s="287"/>
      <c r="S141" s="1972" t="str">
        <f>INDEX(PT_DIFFERENTIATION_NUM_CS,MATCH(C141,PT_DIFFERENTIATION_CS_ID,0))</f>
        <v>1.9.1</v>
      </c>
      <c r="T141" s="244" t="s">
        <v>607</v>
      </c>
      <c r="U141" s="235"/>
      <c r="V141" s="4027"/>
      <c r="W141" s="4028"/>
      <c r="X141" s="4028"/>
      <c r="Y141" s="4028"/>
      <c r="Z141" s="4028"/>
      <c r="AA141" s="4028"/>
      <c r="AB141" s="4028"/>
      <c r="AC141" s="4029"/>
      <c r="AD141" s="4027" t="str">
        <f>INDEX(PT_DIFFERENTIATION_CS,MATCH(C141,PT_DIFFERENTIATION_CS_ID,0))</f>
        <v>Шумячский  ТУ</v>
      </c>
      <c r="AE141" s="4028"/>
      <c r="AF141" s="4028"/>
      <c r="AG141" s="4028"/>
      <c r="AH141" s="4028"/>
      <c r="AI141" s="4028"/>
      <c r="AJ141" s="4028"/>
      <c r="AK141" s="4028"/>
      <c r="AL141" s="4029"/>
      <c r="AM141" s="1182" t="s">
        <v>608</v>
      </c>
      <c r="AN141" s="1566"/>
      <c r="AO141" s="1548"/>
      <c r="AP141" s="1548" t="str">
        <f t="shared" si="2"/>
        <v xml:space="preserve">Наименование системы теплоснабжения </v>
      </c>
      <c r="AQ141" s="1548"/>
      <c r="AR141" s="1548"/>
      <c r="AS141" s="1559">
        <v>0</v>
      </c>
    </row>
    <row r="142" spans="1:45" s="1745" customFormat="1" ht="21" customHeight="1">
      <c r="A142" s="1287"/>
      <c r="B142" s="1287"/>
      <c r="C142" s="1287"/>
      <c r="D142" s="1287" t="s">
        <v>328</v>
      </c>
      <c r="E142" s="4034"/>
      <c r="F142" s="4034" t="s">
        <v>134</v>
      </c>
      <c r="G142" s="4034"/>
      <c r="H142" s="4033">
        <v>1</v>
      </c>
      <c r="I142" s="1287"/>
      <c r="J142" s="1287"/>
      <c r="K142" s="1287"/>
      <c r="L142" s="1293"/>
      <c r="M142" s="1289"/>
      <c r="N142" s="1289"/>
      <c r="O142" s="1289"/>
      <c r="P142" s="288"/>
      <c r="Q142" s="286"/>
      <c r="R142" s="287"/>
      <c r="S142" s="1972" t="str">
        <f>INDEX(PT_DIFFERENTIATION_NUM_IST_TE,MATCH(D142,PT_DIFFERENTIATION_IST_TE_ID,0))</f>
        <v>1.9.1.1</v>
      </c>
      <c r="T142" s="245" t="s">
        <v>609</v>
      </c>
      <c r="U142" s="235"/>
      <c r="V142" s="4027"/>
      <c r="W142" s="4028"/>
      <c r="X142" s="4028"/>
      <c r="Y142" s="4028"/>
      <c r="Z142" s="4028"/>
      <c r="AA142" s="4028"/>
      <c r="AB142" s="4028"/>
      <c r="AC142" s="4029"/>
      <c r="AD142" s="4027" t="str">
        <f>INDEX(PT_DIFFERENTIATION_IST_TE,MATCH(D142,PT_DIFFERENTIATION_IST_TE_ID,0))</f>
        <v>без дифференциации</v>
      </c>
      <c r="AE142" s="4028"/>
      <c r="AF142" s="4028"/>
      <c r="AG142" s="4028"/>
      <c r="AH142" s="4028"/>
      <c r="AI142" s="4028"/>
      <c r="AJ142" s="4028"/>
      <c r="AK142" s="4028"/>
      <c r="AL142" s="4029"/>
      <c r="AM142" s="1182" t="s">
        <v>610</v>
      </c>
      <c r="AN142" s="1566"/>
      <c r="AO142" s="1548"/>
      <c r="AP142" s="1548" t="str">
        <f t="shared" si="2"/>
        <v xml:space="preserve">Источник тепловой энергии  </v>
      </c>
      <c r="AQ142" s="1548"/>
      <c r="AR142" s="1548"/>
      <c r="AS142" s="1559">
        <v>0</v>
      </c>
    </row>
    <row r="143" spans="1:45" s="1745" customFormat="1" ht="14.25" customHeight="1">
      <c r="A143" s="1287"/>
      <c r="B143" s="1287"/>
      <c r="C143" s="1287"/>
      <c r="D143" s="1287"/>
      <c r="E143" s="4034"/>
      <c r="F143" s="4034" t="s">
        <v>134</v>
      </c>
      <c r="G143" s="4034"/>
      <c r="H143" s="4034"/>
      <c r="I143" s="4035" t="str">
        <f>S142&amp;".1"</f>
        <v>1.9.1.1.1</v>
      </c>
      <c r="J143" s="1287"/>
      <c r="K143" s="1287"/>
      <c r="L143" s="1293" t="s">
        <v>611</v>
      </c>
      <c r="M143" s="1290"/>
      <c r="N143" s="1672"/>
      <c r="O143" s="1672"/>
      <c r="P143" s="4037">
        <v>1</v>
      </c>
      <c r="Q143" s="1974"/>
      <c r="R143" s="290"/>
      <c r="S143" s="1973"/>
      <c r="T143" s="1307"/>
      <c r="U143" s="1308"/>
      <c r="V143" s="4064"/>
      <c r="W143" s="4065"/>
      <c r="X143" s="4065"/>
      <c r="Y143" s="4065"/>
      <c r="Z143" s="4065"/>
      <c r="AA143" s="4065"/>
      <c r="AB143" s="4065"/>
      <c r="AC143" s="4066"/>
      <c r="AD143" s="4064"/>
      <c r="AE143" s="4065"/>
      <c r="AF143" s="4065"/>
      <c r="AG143" s="4065"/>
      <c r="AH143" s="4065"/>
      <c r="AI143" s="4065"/>
      <c r="AJ143" s="4065"/>
      <c r="AK143" s="4065"/>
      <c r="AL143" s="4066"/>
      <c r="AM143" s="1309"/>
      <c r="AN143" s="1566"/>
      <c r="AO143" s="1548"/>
      <c r="AP143" s="1548" t="str">
        <f t="shared" si="2"/>
        <v/>
      </c>
      <c r="AQ143" s="1548"/>
      <c r="AR143" s="1548"/>
      <c r="AS143" s="1559">
        <v>0</v>
      </c>
    </row>
    <row r="144" spans="1:45" s="1745" customFormat="1" ht="21" customHeight="1">
      <c r="A144" s="1287"/>
      <c r="B144" s="1287"/>
      <c r="C144" s="1287"/>
      <c r="D144" s="1287"/>
      <c r="E144" s="4034"/>
      <c r="F144" s="4034" t="s">
        <v>134</v>
      </c>
      <c r="G144" s="4034"/>
      <c r="H144" s="4034"/>
      <c r="I144" s="4036"/>
      <c r="J144" s="4035" t="str">
        <f>I143&amp;".1"</f>
        <v>1.9.1.1.1.1</v>
      </c>
      <c r="K144" s="1287"/>
      <c r="L144" s="1293" t="s">
        <v>614</v>
      </c>
      <c r="M144" s="1290"/>
      <c r="N144" s="1290"/>
      <c r="O144" s="1672"/>
      <c r="P144" s="4037"/>
      <c r="Q144" s="4037">
        <v>1</v>
      </c>
      <c r="R144" s="291"/>
      <c r="S144" s="1972" t="str">
        <f>$J144</f>
        <v>1.9.1.1.1.1</v>
      </c>
      <c r="T144" s="221" t="s">
        <v>615</v>
      </c>
      <c r="U144" s="235"/>
      <c r="V144" s="4021"/>
      <c r="W144" s="4022"/>
      <c r="X144" s="4022"/>
      <c r="Y144" s="4022"/>
      <c r="Z144" s="4022"/>
      <c r="AA144" s="4022"/>
      <c r="AB144" s="4022"/>
      <c r="AC144" s="4023"/>
      <c r="AD144" s="4021" t="s">
        <v>654</v>
      </c>
      <c r="AE144" s="4022"/>
      <c r="AF144" s="4022"/>
      <c r="AG144" s="4022"/>
      <c r="AH144" s="4022"/>
      <c r="AI144" s="4022"/>
      <c r="AJ144" s="4022"/>
      <c r="AK144" s="4022"/>
      <c r="AL144" s="4023"/>
      <c r="AM144" s="1182" t="s">
        <v>616</v>
      </c>
      <c r="AN144" s="1566"/>
      <c r="AO144" s="1548"/>
      <c r="AP144" s="1548" t="str">
        <f t="shared" si="2"/>
        <v>Группа потребителей</v>
      </c>
      <c r="AQ144" s="1548"/>
      <c r="AR144" s="1548"/>
      <c r="AS144" s="1559">
        <v>0</v>
      </c>
    </row>
    <row r="145" spans="1:45" s="1745" customFormat="1" ht="21" customHeight="1">
      <c r="A145" s="1287"/>
      <c r="B145" s="1287"/>
      <c r="C145" s="1287"/>
      <c r="D145" s="1287"/>
      <c r="E145" s="4034"/>
      <c r="F145" s="4034" t="s">
        <v>134</v>
      </c>
      <c r="G145" s="4034"/>
      <c r="H145" s="4034"/>
      <c r="I145" s="4036"/>
      <c r="J145" s="4036"/>
      <c r="K145" s="4035" t="str">
        <f>J144&amp;".1"</f>
        <v>1.9.1.1.1.1.1</v>
      </c>
      <c r="L145" s="1293" t="s">
        <v>617</v>
      </c>
      <c r="M145" s="1290"/>
      <c r="N145" s="1290"/>
      <c r="O145" s="1290"/>
      <c r="P145" s="4037"/>
      <c r="Q145" s="4037"/>
      <c r="R145" s="291">
        <v>1</v>
      </c>
      <c r="S145" s="1972" t="str">
        <f>$K145</f>
        <v>1.9.1.1.1.1.1</v>
      </c>
      <c r="T145" s="1271" t="s">
        <v>656</v>
      </c>
      <c r="U145" s="235"/>
      <c r="V145" s="685"/>
      <c r="W145" s="260"/>
      <c r="X145" s="685"/>
      <c r="Y145" s="1181"/>
      <c r="Z145" s="4038"/>
      <c r="AA145" s="3899" t="s">
        <v>53</v>
      </c>
      <c r="AB145" s="4038"/>
      <c r="AC145" s="3899" t="s">
        <v>53</v>
      </c>
      <c r="AD145" s="685">
        <v>548.77</v>
      </c>
      <c r="AE145" s="260"/>
      <c r="AF145" s="685"/>
      <c r="AG145" s="1181"/>
      <c r="AH145" s="4038">
        <v>46023.349409722221</v>
      </c>
      <c r="AI145" s="3899" t="s">
        <v>53</v>
      </c>
      <c r="AJ145" s="4038">
        <v>46387.349537037036</v>
      </c>
      <c r="AK145" s="3899" t="s">
        <v>53</v>
      </c>
      <c r="AL145" s="260"/>
      <c r="AM145" s="4056" t="s">
        <v>618</v>
      </c>
      <c r="AN145" s="1566" t="e">
        <f ca="1">STRCHECKDATE(V146:AL146)</f>
        <v>#NAME?</v>
      </c>
      <c r="AO145" s="1548"/>
      <c r="AP145" s="1548" t="str">
        <f t="shared" si="2"/>
        <v>вода</v>
      </c>
      <c r="AQ145" s="1548"/>
      <c r="AR145" s="1548"/>
      <c r="AS145" s="1559">
        <v>0</v>
      </c>
    </row>
    <row r="146" spans="1:45" s="1745" customFormat="1" ht="0.75" customHeight="1">
      <c r="A146" s="1287"/>
      <c r="B146" s="1287"/>
      <c r="C146" s="1287"/>
      <c r="D146" s="1287"/>
      <c r="E146" s="4034"/>
      <c r="F146" s="4034" t="s">
        <v>134</v>
      </c>
      <c r="G146" s="4034"/>
      <c r="H146" s="4034"/>
      <c r="I146" s="4036"/>
      <c r="J146" s="4036"/>
      <c r="K146" s="4035"/>
      <c r="L146" s="1293"/>
      <c r="M146" s="1290"/>
      <c r="N146" s="1290"/>
      <c r="O146" s="1290"/>
      <c r="P146" s="4037"/>
      <c r="Q146" s="4037"/>
      <c r="R146" s="291"/>
      <c r="S146" s="1978"/>
      <c r="T146" s="235"/>
      <c r="U146" s="235"/>
      <c r="V146" s="260"/>
      <c r="W146" s="260"/>
      <c r="X146" s="260"/>
      <c r="Y146" s="263" t="str">
        <f>Z145&amp;"-"&amp;AB145</f>
        <v>-</v>
      </c>
      <c r="Z146" s="4039"/>
      <c r="AA146" s="3899"/>
      <c r="AB146" s="4039"/>
      <c r="AC146" s="3899"/>
      <c r="AD146" s="260"/>
      <c r="AE146" s="260"/>
      <c r="AF146" s="260"/>
      <c r="AG146" s="263" t="str">
        <f>AH145&amp;"-"&amp;AJ145</f>
        <v>46023,3494097222-46387,349537037</v>
      </c>
      <c r="AH146" s="4039"/>
      <c r="AI146" s="3899"/>
      <c r="AJ146" s="4039"/>
      <c r="AK146" s="3899"/>
      <c r="AL146" s="260"/>
      <c r="AM146" s="4057"/>
      <c r="AN146" s="1566"/>
      <c r="AO146" s="1548"/>
      <c r="AP146" s="1548" t="str">
        <f t="shared" si="2"/>
        <v/>
      </c>
      <c r="AQ146" s="1548"/>
      <c r="AR146" s="1548"/>
      <c r="AS146" s="1559">
        <v>0</v>
      </c>
    </row>
    <row r="147" spans="1:45" s="1745" customFormat="1" ht="15" customHeight="1">
      <c r="A147" s="1287"/>
      <c r="B147" s="1287"/>
      <c r="C147" s="1287"/>
      <c r="D147" s="1287"/>
      <c r="E147" s="4034"/>
      <c r="F147" s="4034" t="s">
        <v>134</v>
      </c>
      <c r="G147" s="4034"/>
      <c r="H147" s="4034"/>
      <c r="I147" s="4036"/>
      <c r="J147" s="4035"/>
      <c r="K147" s="1287"/>
      <c r="L147" s="1293"/>
      <c r="M147" s="1290"/>
      <c r="N147" s="1290"/>
      <c r="O147" s="1672"/>
      <c r="P147" s="4037"/>
      <c r="Q147" s="4037"/>
      <c r="R147" s="290"/>
      <c r="S147" s="3208"/>
      <c r="T147" s="3209" t="s">
        <v>619</v>
      </c>
      <c r="U147" s="3210"/>
      <c r="V147" s="3211"/>
      <c r="W147" s="3212"/>
      <c r="X147" s="3213"/>
      <c r="Y147" s="3214"/>
      <c r="Z147" s="3215"/>
      <c r="AA147" s="3216"/>
      <c r="AB147" s="3217"/>
      <c r="AC147" s="3218"/>
      <c r="AD147" s="3219"/>
      <c r="AE147" s="3220"/>
      <c r="AF147" s="3221"/>
      <c r="AG147" s="3222"/>
      <c r="AH147" s="3223"/>
      <c r="AI147" s="3224"/>
      <c r="AJ147" s="3225"/>
      <c r="AK147" s="3226"/>
      <c r="AL147" s="3227"/>
      <c r="AM147" s="4058"/>
      <c r="AN147" s="1566"/>
      <c r="AO147" s="1548"/>
      <c r="AP147" s="1548" t="str">
        <f t="shared" si="2"/>
        <v>Добавить вид теплоносителя (параметры теплоносителя)</v>
      </c>
      <c r="AQ147" s="1548"/>
      <c r="AR147" s="1548"/>
      <c r="AS147" s="1559">
        <v>0</v>
      </c>
    </row>
    <row r="148" spans="1:45" s="1745" customFormat="1" ht="15" customHeight="1">
      <c r="A148" s="1287"/>
      <c r="B148" s="1287"/>
      <c r="C148" s="1287"/>
      <c r="D148" s="1287"/>
      <c r="E148" s="4034"/>
      <c r="F148" s="4034" t="s">
        <v>134</v>
      </c>
      <c r="G148" s="4034"/>
      <c r="H148" s="4034"/>
      <c r="I148" s="4035"/>
      <c r="J148" s="1287"/>
      <c r="K148" s="1287"/>
      <c r="L148" s="1293"/>
      <c r="M148" s="1290"/>
      <c r="N148" s="1672"/>
      <c r="O148" s="1672"/>
      <c r="P148" s="4037"/>
      <c r="Q148" s="1974"/>
      <c r="R148" s="290"/>
      <c r="S148" s="3228"/>
      <c r="T148" s="3229" t="s">
        <v>620</v>
      </c>
      <c r="U148" s="3230"/>
      <c r="V148" s="3231"/>
      <c r="W148" s="3232"/>
      <c r="X148" s="3233"/>
      <c r="Y148" s="3234"/>
      <c r="Z148" s="3235"/>
      <c r="AA148" s="3236"/>
      <c r="AB148" s="3237"/>
      <c r="AC148" s="3238"/>
      <c r="AD148" s="3239"/>
      <c r="AE148" s="3240"/>
      <c r="AF148" s="3241"/>
      <c r="AG148" s="3242"/>
      <c r="AH148" s="3243"/>
      <c r="AI148" s="3244"/>
      <c r="AJ148" s="3245"/>
      <c r="AK148" s="3246"/>
      <c r="AL148" s="3247"/>
      <c r="AM148" s="3248"/>
      <c r="AN148" s="1566"/>
      <c r="AO148" s="1548"/>
      <c r="AP148" s="1548" t="str">
        <f t="shared" si="2"/>
        <v>Добавить группу потребителей</v>
      </c>
      <c r="AQ148" s="1548"/>
      <c r="AR148" s="1548"/>
      <c r="AS148" s="1559">
        <v>0</v>
      </c>
    </row>
    <row r="149" spans="1:45" s="1745" customFormat="1" ht="14.25" customHeight="1">
      <c r="A149" s="1287"/>
      <c r="B149" s="1287"/>
      <c r="C149" s="1287"/>
      <c r="D149" s="1287"/>
      <c r="E149" s="4034"/>
      <c r="F149" s="4034" t="s">
        <v>134</v>
      </c>
      <c r="G149" s="4034"/>
      <c r="H149" s="4033"/>
      <c r="I149" s="1287"/>
      <c r="J149" s="1287"/>
      <c r="K149" s="1287"/>
      <c r="L149" s="1293"/>
      <c r="M149" s="1289"/>
      <c r="N149" s="1289"/>
      <c r="O149" s="1290"/>
      <c r="P149" s="1718"/>
      <c r="Q149" s="309"/>
      <c r="R149" s="289"/>
      <c r="S149" s="1310"/>
      <c r="T149" s="1311"/>
      <c r="U149" s="1312"/>
      <c r="V149" s="1312"/>
      <c r="W149" s="1312"/>
      <c r="X149" s="1312"/>
      <c r="Y149" s="1312"/>
      <c r="Z149" s="1312"/>
      <c r="AA149" s="1312"/>
      <c r="AB149" s="1312"/>
      <c r="AC149" s="1312"/>
      <c r="AD149" s="1312"/>
      <c r="AE149" s="1312"/>
      <c r="AF149" s="1312"/>
      <c r="AG149" s="1312"/>
      <c r="AH149" s="1312"/>
      <c r="AI149" s="1312"/>
      <c r="AJ149" s="1312"/>
      <c r="AK149" s="1312"/>
      <c r="AL149" s="1312"/>
      <c r="AM149" s="1313"/>
      <c r="AN149" s="1566"/>
      <c r="AO149" s="1548"/>
      <c r="AP149" s="1548" t="str">
        <f t="shared" si="2"/>
        <v/>
      </c>
      <c r="AQ149" s="1548"/>
      <c r="AR149" s="1548"/>
      <c r="AS149" s="1559">
        <v>0</v>
      </c>
    </row>
    <row r="150" spans="1:45" s="556" customFormat="1" ht="0.75" customHeight="1">
      <c r="A150" s="1267"/>
      <c r="B150" s="1267"/>
      <c r="C150" s="1267"/>
      <c r="D150" s="1267"/>
      <c r="E150" s="4034"/>
      <c r="F150" s="4034" t="s">
        <v>134</v>
      </c>
      <c r="G150" s="4033"/>
      <c r="H150" s="1267"/>
      <c r="I150" s="1267"/>
      <c r="J150" s="1267"/>
      <c r="K150" s="1267"/>
      <c r="L150" s="1469"/>
      <c r="M150" s="1239"/>
      <c r="N150" s="1239"/>
      <c r="O150" s="1566"/>
      <c r="P150" s="1240"/>
      <c r="Q150" s="1268"/>
      <c r="R150" s="1240"/>
      <c r="S150" s="1242"/>
      <c r="T150" s="1243" t="s">
        <v>235</v>
      </c>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566"/>
      <c r="AO150" s="1548"/>
      <c r="AP150" s="1548" t="str">
        <f t="shared" si="2"/>
        <v>Добавить источник для дифференциации</v>
      </c>
      <c r="AQ150" s="1548"/>
      <c r="AR150" s="1548"/>
      <c r="AS150" s="1566">
        <v>0</v>
      </c>
    </row>
    <row r="151" spans="1:45" s="556" customFormat="1" ht="0.75" customHeight="1">
      <c r="A151" s="1267"/>
      <c r="B151" s="1267"/>
      <c r="C151" s="1267"/>
      <c r="D151" s="1267"/>
      <c r="E151" s="4034"/>
      <c r="F151" s="4033" t="s">
        <v>134</v>
      </c>
      <c r="G151" s="1267"/>
      <c r="H151" s="1267"/>
      <c r="I151" s="1267"/>
      <c r="J151" s="1267"/>
      <c r="K151" s="1267"/>
      <c r="L151" s="1469"/>
      <c r="M151" s="1245"/>
      <c r="N151" s="1245"/>
      <c r="O151" s="1566"/>
      <c r="P151" s="1240"/>
      <c r="Q151" s="1268"/>
      <c r="R151" s="1240"/>
      <c r="S151" s="1246"/>
      <c r="T151" s="1247" t="s">
        <v>236</v>
      </c>
      <c r="U151" s="1248"/>
      <c r="V151" s="1248"/>
      <c r="W151" s="1248"/>
      <c r="X151" s="1248"/>
      <c r="Y151" s="1248"/>
      <c r="Z151" s="1248"/>
      <c r="AA151" s="1248"/>
      <c r="AB151" s="1248"/>
      <c r="AC151" s="1248"/>
      <c r="AD151" s="1248"/>
      <c r="AE151" s="1248"/>
      <c r="AF151" s="1248"/>
      <c r="AG151" s="1248"/>
      <c r="AH151" s="1248"/>
      <c r="AI151" s="1248"/>
      <c r="AJ151" s="1248"/>
      <c r="AK151" s="1248"/>
      <c r="AL151" s="1248"/>
      <c r="AM151" s="1248"/>
      <c r="AN151" s="1566"/>
      <c r="AO151" s="1548"/>
      <c r="AP151" s="1548" t="str">
        <f t="shared" si="2"/>
        <v>Добавить централизованную систему для дифференциации</v>
      </c>
      <c r="AQ151" s="1548"/>
      <c r="AR151" s="1548"/>
      <c r="AS151" s="1566">
        <v>0</v>
      </c>
    </row>
    <row r="152" spans="1:45" s="1745" customFormat="1" ht="21" customHeight="1">
      <c r="A152" s="1287"/>
      <c r="B152" s="1287" t="s">
        <v>329</v>
      </c>
      <c r="C152" s="1287"/>
      <c r="D152" s="1287"/>
      <c r="E152" s="4034"/>
      <c r="F152" s="4033" t="s">
        <v>141</v>
      </c>
      <c r="G152" s="1287"/>
      <c r="H152" s="1287"/>
      <c r="I152" s="1287"/>
      <c r="J152" s="1287"/>
      <c r="K152" s="1287"/>
      <c r="L152" s="1293"/>
      <c r="M152" s="1289"/>
      <c r="N152" s="1289"/>
      <c r="O152" s="1289"/>
      <c r="P152" s="1970"/>
      <c r="Q152" s="286"/>
      <c r="R152" s="287"/>
      <c r="S152" s="1972" t="str">
        <f>INDEX(PT_DIFFERENTIATION_NUM_TER,MATCH(B152,PT_DIFFERENTIATION_TER_ID,0))</f>
        <v>1.10</v>
      </c>
      <c r="T152" s="1446" t="s">
        <v>605</v>
      </c>
      <c r="U152" s="235"/>
      <c r="V152" s="4027"/>
      <c r="W152" s="4028"/>
      <c r="X152" s="4028"/>
      <c r="Y152" s="4028"/>
      <c r="Z152" s="4028"/>
      <c r="AA152" s="4028"/>
      <c r="AB152" s="4028"/>
      <c r="AC152" s="4029"/>
      <c r="AD152" s="4027" t="str">
        <f>INDEX(PT_DIFFERENTIATION_TER,MATCH(B152,PT_DIFFERENTIATION_TER_ID,0))</f>
        <v>Территория 4</v>
      </c>
      <c r="AE152" s="4028"/>
      <c r="AF152" s="4028"/>
      <c r="AG152" s="4028"/>
      <c r="AH152" s="4028"/>
      <c r="AI152" s="4028"/>
      <c r="AJ152" s="4028"/>
      <c r="AK152" s="4028"/>
      <c r="AL152" s="4029"/>
      <c r="AM152" s="1182" t="s">
        <v>606</v>
      </c>
      <c r="AN152" s="1566"/>
      <c r="AO152" s="1548"/>
      <c r="AP152" s="1548" t="str">
        <f t="shared" si="2"/>
        <v>Территория действия тарифа</v>
      </c>
      <c r="AQ152" s="1548"/>
      <c r="AR152" s="1548"/>
      <c r="AS152" s="1559">
        <v>0</v>
      </c>
    </row>
    <row r="153" spans="1:45" s="1745" customFormat="1" ht="23.25" customHeight="1">
      <c r="A153" s="1287"/>
      <c r="B153" s="1287"/>
      <c r="C153" s="1287" t="s">
        <v>330</v>
      </c>
      <c r="D153" s="1287"/>
      <c r="E153" s="4034"/>
      <c r="F153" s="4034" t="s">
        <v>136</v>
      </c>
      <c r="G153" s="4033">
        <v>1</v>
      </c>
      <c r="H153" s="1287"/>
      <c r="I153" s="1287"/>
      <c r="J153" s="1287"/>
      <c r="K153" s="1287"/>
      <c r="L153" s="1293"/>
      <c r="M153" s="1289"/>
      <c r="N153" s="1289"/>
      <c r="O153" s="1289"/>
      <c r="P153" s="288"/>
      <c r="Q153" s="286"/>
      <c r="R153" s="287"/>
      <c r="S153" s="1972" t="str">
        <f>INDEX(PT_DIFFERENTIATION_NUM_CS,MATCH(C153,PT_DIFFERENTIATION_CS_ID,0))</f>
        <v>1.10.1</v>
      </c>
      <c r="T153" s="244" t="s">
        <v>607</v>
      </c>
      <c r="U153" s="235"/>
      <c r="V153" s="4027"/>
      <c r="W153" s="4028"/>
      <c r="X153" s="4028"/>
      <c r="Y153" s="4028"/>
      <c r="Z153" s="4028"/>
      <c r="AA153" s="4028"/>
      <c r="AB153" s="4028"/>
      <c r="AC153" s="4029"/>
      <c r="AD153" s="4027" t="str">
        <f>INDEX(PT_DIFFERENTIATION_CS,MATCH(C153,PT_DIFFERENTIATION_CS_ID,0))</f>
        <v>котельная г. Рославль ул. Мичурина</v>
      </c>
      <c r="AE153" s="4028"/>
      <c r="AF153" s="4028"/>
      <c r="AG153" s="4028"/>
      <c r="AH153" s="4028"/>
      <c r="AI153" s="4028"/>
      <c r="AJ153" s="4028"/>
      <c r="AK153" s="4028"/>
      <c r="AL153" s="4029"/>
      <c r="AM153" s="1182" t="s">
        <v>608</v>
      </c>
      <c r="AN153" s="1566"/>
      <c r="AO153" s="1548"/>
      <c r="AP153" s="1548" t="str">
        <f t="shared" si="2"/>
        <v xml:space="preserve">Наименование системы теплоснабжения </v>
      </c>
      <c r="AQ153" s="1548"/>
      <c r="AR153" s="1548"/>
      <c r="AS153" s="1559">
        <v>0</v>
      </c>
    </row>
    <row r="154" spans="1:45" s="1745" customFormat="1" ht="21" customHeight="1">
      <c r="A154" s="1287"/>
      <c r="B154" s="1287"/>
      <c r="C154" s="1287"/>
      <c r="D154" s="1287" t="s">
        <v>331</v>
      </c>
      <c r="E154" s="4034"/>
      <c r="F154" s="4034" t="s">
        <v>136</v>
      </c>
      <c r="G154" s="4034"/>
      <c r="H154" s="4033">
        <v>1</v>
      </c>
      <c r="I154" s="1287"/>
      <c r="J154" s="1287"/>
      <c r="K154" s="1287"/>
      <c r="L154" s="1293"/>
      <c r="M154" s="1289"/>
      <c r="N154" s="1289"/>
      <c r="O154" s="1289"/>
      <c r="P154" s="288"/>
      <c r="Q154" s="286"/>
      <c r="R154" s="287"/>
      <c r="S154" s="1972" t="str">
        <f>INDEX(PT_DIFFERENTIATION_NUM_IST_TE,MATCH(D154,PT_DIFFERENTIATION_IST_TE_ID,0))</f>
        <v>1.10.1.1</v>
      </c>
      <c r="T154" s="245" t="s">
        <v>609</v>
      </c>
      <c r="U154" s="235"/>
      <c r="V154" s="4027"/>
      <c r="W154" s="4028"/>
      <c r="X154" s="4028"/>
      <c r="Y154" s="4028"/>
      <c r="Z154" s="4028"/>
      <c r="AA154" s="4028"/>
      <c r="AB154" s="4028"/>
      <c r="AC154" s="4029"/>
      <c r="AD154" s="4027" t="str">
        <f>INDEX(PT_DIFFERENTIATION_IST_TE,MATCH(D154,PT_DIFFERENTIATION_IST_TE_ID,0))</f>
        <v>без дифференциации</v>
      </c>
      <c r="AE154" s="4028"/>
      <c r="AF154" s="4028"/>
      <c r="AG154" s="4028"/>
      <c r="AH154" s="4028"/>
      <c r="AI154" s="4028"/>
      <c r="AJ154" s="4028"/>
      <c r="AK154" s="4028"/>
      <c r="AL154" s="4029"/>
      <c r="AM154" s="1182" t="s">
        <v>610</v>
      </c>
      <c r="AN154" s="1566"/>
      <c r="AO154" s="1548"/>
      <c r="AP154" s="1548" t="str">
        <f t="shared" si="2"/>
        <v xml:space="preserve">Источник тепловой энергии  </v>
      </c>
      <c r="AQ154" s="1548"/>
      <c r="AR154" s="1548"/>
      <c r="AS154" s="1559">
        <v>0</v>
      </c>
    </row>
    <row r="155" spans="1:45" s="1745" customFormat="1" ht="14.25" customHeight="1">
      <c r="A155" s="1287"/>
      <c r="B155" s="1287"/>
      <c r="C155" s="1287"/>
      <c r="D155" s="1287"/>
      <c r="E155" s="4034"/>
      <c r="F155" s="4034" t="s">
        <v>136</v>
      </c>
      <c r="G155" s="4034"/>
      <c r="H155" s="4034"/>
      <c r="I155" s="4035" t="str">
        <f>S154&amp;".1"</f>
        <v>1.10.1.1.1</v>
      </c>
      <c r="J155" s="1287"/>
      <c r="K155" s="1287"/>
      <c r="L155" s="1293" t="s">
        <v>611</v>
      </c>
      <c r="M155" s="1290"/>
      <c r="N155" s="1672"/>
      <c r="O155" s="1672"/>
      <c r="P155" s="4037">
        <v>1</v>
      </c>
      <c r="Q155" s="1974"/>
      <c r="R155" s="290"/>
      <c r="S155" s="1973"/>
      <c r="T155" s="1307"/>
      <c r="U155" s="1308"/>
      <c r="V155" s="4064"/>
      <c r="W155" s="4065"/>
      <c r="X155" s="4065"/>
      <c r="Y155" s="4065"/>
      <c r="Z155" s="4065"/>
      <c r="AA155" s="4065"/>
      <c r="AB155" s="4065"/>
      <c r="AC155" s="4066"/>
      <c r="AD155" s="4064"/>
      <c r="AE155" s="4065"/>
      <c r="AF155" s="4065"/>
      <c r="AG155" s="4065"/>
      <c r="AH155" s="4065"/>
      <c r="AI155" s="4065"/>
      <c r="AJ155" s="4065"/>
      <c r="AK155" s="4065"/>
      <c r="AL155" s="4066"/>
      <c r="AM155" s="1309"/>
      <c r="AN155" s="1566"/>
      <c r="AO155" s="1548"/>
      <c r="AP155" s="1548" t="str">
        <f t="shared" si="2"/>
        <v/>
      </c>
      <c r="AQ155" s="1548"/>
      <c r="AR155" s="1548"/>
      <c r="AS155" s="1559">
        <v>0</v>
      </c>
    </row>
    <row r="156" spans="1:45" s="1745" customFormat="1" ht="21" customHeight="1">
      <c r="A156" s="1287"/>
      <c r="B156" s="1287"/>
      <c r="C156" s="1287"/>
      <c r="D156" s="1287"/>
      <c r="E156" s="4034"/>
      <c r="F156" s="4034" t="s">
        <v>136</v>
      </c>
      <c r="G156" s="4034"/>
      <c r="H156" s="4034"/>
      <c r="I156" s="4036"/>
      <c r="J156" s="4035" t="str">
        <f>I155&amp;".1"</f>
        <v>1.10.1.1.1.1</v>
      </c>
      <c r="K156" s="1287"/>
      <c r="L156" s="1293" t="s">
        <v>614</v>
      </c>
      <c r="M156" s="1290"/>
      <c r="N156" s="1290"/>
      <c r="O156" s="1672"/>
      <c r="P156" s="4037"/>
      <c r="Q156" s="4037">
        <v>1</v>
      </c>
      <c r="R156" s="291"/>
      <c r="S156" s="1972" t="str">
        <f>$J156</f>
        <v>1.10.1.1.1.1</v>
      </c>
      <c r="T156" s="221" t="s">
        <v>615</v>
      </c>
      <c r="U156" s="235"/>
      <c r="V156" s="4021"/>
      <c r="W156" s="4022"/>
      <c r="X156" s="4022"/>
      <c r="Y156" s="4022"/>
      <c r="Z156" s="4022"/>
      <c r="AA156" s="4022"/>
      <c r="AB156" s="4022"/>
      <c r="AC156" s="4023"/>
      <c r="AD156" s="4021" t="s">
        <v>654</v>
      </c>
      <c r="AE156" s="4022"/>
      <c r="AF156" s="4022"/>
      <c r="AG156" s="4022"/>
      <c r="AH156" s="4022"/>
      <c r="AI156" s="4022"/>
      <c r="AJ156" s="4022"/>
      <c r="AK156" s="4022"/>
      <c r="AL156" s="4023"/>
      <c r="AM156" s="1182" t="s">
        <v>616</v>
      </c>
      <c r="AN156" s="1566"/>
      <c r="AO156" s="1548"/>
      <c r="AP156" s="1548" t="str">
        <f t="shared" si="2"/>
        <v>Группа потребителей</v>
      </c>
      <c r="AQ156" s="1548"/>
      <c r="AR156" s="1548"/>
      <c r="AS156" s="1559">
        <v>0</v>
      </c>
    </row>
    <row r="157" spans="1:45" s="1745" customFormat="1" ht="21" customHeight="1">
      <c r="A157" s="1287"/>
      <c r="B157" s="1287"/>
      <c r="C157" s="1287"/>
      <c r="D157" s="1287"/>
      <c r="E157" s="4034"/>
      <c r="F157" s="4034" t="s">
        <v>136</v>
      </c>
      <c r="G157" s="4034"/>
      <c r="H157" s="4034"/>
      <c r="I157" s="4036"/>
      <c r="J157" s="4036"/>
      <c r="K157" s="4035" t="str">
        <f>J156&amp;".1"</f>
        <v>1.10.1.1.1.1.1</v>
      </c>
      <c r="L157" s="1293" t="s">
        <v>617</v>
      </c>
      <c r="M157" s="1290"/>
      <c r="N157" s="1290"/>
      <c r="O157" s="1290"/>
      <c r="P157" s="4037"/>
      <c r="Q157" s="4037"/>
      <c r="R157" s="291">
        <v>1</v>
      </c>
      <c r="S157" s="1972" t="str">
        <f>$K157</f>
        <v>1.10.1.1.1.1.1</v>
      </c>
      <c r="T157" s="1271" t="s">
        <v>656</v>
      </c>
      <c r="U157" s="235"/>
      <c r="V157" s="685"/>
      <c r="W157" s="260"/>
      <c r="X157" s="685"/>
      <c r="Y157" s="1181"/>
      <c r="Z157" s="4038"/>
      <c r="AA157" s="3899" t="s">
        <v>53</v>
      </c>
      <c r="AB157" s="4038"/>
      <c r="AC157" s="3899" t="s">
        <v>53</v>
      </c>
      <c r="AD157" s="685">
        <v>456.17</v>
      </c>
      <c r="AE157" s="260"/>
      <c r="AF157" s="685"/>
      <c r="AG157" s="1181"/>
      <c r="AH157" s="4038">
        <v>46023.370578703703</v>
      </c>
      <c r="AI157" s="3899" t="s">
        <v>53</v>
      </c>
      <c r="AJ157" s="4038">
        <v>46387.370717592596</v>
      </c>
      <c r="AK157" s="3899" t="s">
        <v>53</v>
      </c>
      <c r="AL157" s="260"/>
      <c r="AM157" s="4056" t="s">
        <v>618</v>
      </c>
      <c r="AN157" s="1566" t="e">
        <f ca="1">STRCHECKDATE(V158:AL158)</f>
        <v>#NAME?</v>
      </c>
      <c r="AO157" s="1548"/>
      <c r="AP157" s="1548" t="str">
        <f t="shared" si="2"/>
        <v>вода</v>
      </c>
      <c r="AQ157" s="1548"/>
      <c r="AR157" s="1548"/>
      <c r="AS157" s="1559">
        <v>0</v>
      </c>
    </row>
    <row r="158" spans="1:45" s="1745" customFormat="1" ht="0.75" customHeight="1">
      <c r="A158" s="1287"/>
      <c r="B158" s="1287"/>
      <c r="C158" s="1287"/>
      <c r="D158" s="1287"/>
      <c r="E158" s="4034"/>
      <c r="F158" s="4034" t="s">
        <v>136</v>
      </c>
      <c r="G158" s="4034"/>
      <c r="H158" s="4034"/>
      <c r="I158" s="4036"/>
      <c r="J158" s="4036"/>
      <c r="K158" s="4035"/>
      <c r="L158" s="1293"/>
      <c r="M158" s="1290"/>
      <c r="N158" s="1290"/>
      <c r="O158" s="1290"/>
      <c r="P158" s="4037"/>
      <c r="Q158" s="4037"/>
      <c r="R158" s="291"/>
      <c r="S158" s="1978"/>
      <c r="T158" s="235"/>
      <c r="U158" s="235"/>
      <c r="V158" s="260"/>
      <c r="W158" s="260"/>
      <c r="X158" s="260"/>
      <c r="Y158" s="263" t="str">
        <f>Z157&amp;"-"&amp;AB157</f>
        <v>-</v>
      </c>
      <c r="Z158" s="4039"/>
      <c r="AA158" s="3899"/>
      <c r="AB158" s="4039"/>
      <c r="AC158" s="3899"/>
      <c r="AD158" s="260"/>
      <c r="AE158" s="260"/>
      <c r="AF158" s="260"/>
      <c r="AG158" s="263" t="str">
        <f>AH157&amp;"-"&amp;AJ157</f>
        <v>46023,3705787037-46387,3707175926</v>
      </c>
      <c r="AH158" s="4039"/>
      <c r="AI158" s="3899"/>
      <c r="AJ158" s="4039"/>
      <c r="AK158" s="3899"/>
      <c r="AL158" s="260"/>
      <c r="AM158" s="4057"/>
      <c r="AN158" s="1566"/>
      <c r="AO158" s="1548"/>
      <c r="AP158" s="1548" t="str">
        <f t="shared" si="2"/>
        <v/>
      </c>
      <c r="AQ158" s="1548"/>
      <c r="AR158" s="1548"/>
      <c r="AS158" s="1559">
        <v>0</v>
      </c>
    </row>
    <row r="159" spans="1:45" s="1745" customFormat="1" ht="15" customHeight="1">
      <c r="A159" s="1287"/>
      <c r="B159" s="1287"/>
      <c r="C159" s="1287"/>
      <c r="D159" s="1287"/>
      <c r="E159" s="4034"/>
      <c r="F159" s="4034" t="s">
        <v>136</v>
      </c>
      <c r="G159" s="4034"/>
      <c r="H159" s="4034"/>
      <c r="I159" s="4036"/>
      <c r="J159" s="4035"/>
      <c r="K159" s="1287"/>
      <c r="L159" s="1293"/>
      <c r="M159" s="1290"/>
      <c r="N159" s="1290"/>
      <c r="O159" s="1672"/>
      <c r="P159" s="4037"/>
      <c r="Q159" s="4037"/>
      <c r="R159" s="290"/>
      <c r="S159" s="3249"/>
      <c r="T159" s="3250" t="s">
        <v>619</v>
      </c>
      <c r="U159" s="3251"/>
      <c r="V159" s="3252"/>
      <c r="W159" s="3253"/>
      <c r="X159" s="3254"/>
      <c r="Y159" s="3255"/>
      <c r="Z159" s="3256"/>
      <c r="AA159" s="3257"/>
      <c r="AB159" s="3258"/>
      <c r="AC159" s="3259"/>
      <c r="AD159" s="3260"/>
      <c r="AE159" s="3261"/>
      <c r="AF159" s="3262"/>
      <c r="AG159" s="3263"/>
      <c r="AH159" s="3264"/>
      <c r="AI159" s="3265"/>
      <c r="AJ159" s="3266"/>
      <c r="AK159" s="3267"/>
      <c r="AL159" s="3268"/>
      <c r="AM159" s="4058"/>
      <c r="AN159" s="1566"/>
      <c r="AO159" s="1548"/>
      <c r="AP159" s="1548" t="str">
        <f t="shared" si="2"/>
        <v>Добавить вид теплоносителя (параметры теплоносителя)</v>
      </c>
      <c r="AQ159" s="1548"/>
      <c r="AR159" s="1548"/>
      <c r="AS159" s="1559">
        <v>0</v>
      </c>
    </row>
    <row r="160" spans="1:45" s="1745" customFormat="1" ht="15" customHeight="1">
      <c r="A160" s="1287"/>
      <c r="B160" s="1287"/>
      <c r="C160" s="1287"/>
      <c r="D160" s="1287"/>
      <c r="E160" s="4034"/>
      <c r="F160" s="4034" t="s">
        <v>136</v>
      </c>
      <c r="G160" s="4034"/>
      <c r="H160" s="4034"/>
      <c r="I160" s="4035"/>
      <c r="J160" s="1287"/>
      <c r="K160" s="1287"/>
      <c r="L160" s="1293"/>
      <c r="M160" s="1290"/>
      <c r="N160" s="1672"/>
      <c r="O160" s="1672"/>
      <c r="P160" s="4037"/>
      <c r="Q160" s="1974"/>
      <c r="R160" s="290"/>
      <c r="S160" s="3269"/>
      <c r="T160" s="3270" t="s">
        <v>620</v>
      </c>
      <c r="U160" s="3271"/>
      <c r="V160" s="3272"/>
      <c r="W160" s="3273"/>
      <c r="X160" s="3274"/>
      <c r="Y160" s="3275"/>
      <c r="Z160" s="3276"/>
      <c r="AA160" s="3277"/>
      <c r="AB160" s="3278"/>
      <c r="AC160" s="3279"/>
      <c r="AD160" s="3280"/>
      <c r="AE160" s="3281"/>
      <c r="AF160" s="3282"/>
      <c r="AG160" s="3283"/>
      <c r="AH160" s="3284"/>
      <c r="AI160" s="3285"/>
      <c r="AJ160" s="3286"/>
      <c r="AK160" s="3287"/>
      <c r="AL160" s="3288"/>
      <c r="AM160" s="3289"/>
      <c r="AN160" s="1566"/>
      <c r="AO160" s="1548"/>
      <c r="AP160" s="1548" t="str">
        <f t="shared" si="2"/>
        <v>Добавить группу потребителей</v>
      </c>
      <c r="AQ160" s="1548"/>
      <c r="AR160" s="1548"/>
      <c r="AS160" s="1559">
        <v>0</v>
      </c>
    </row>
    <row r="161" spans="1:45" s="1745" customFormat="1" ht="14.25" customHeight="1">
      <c r="A161" s="1287"/>
      <c r="B161" s="1287"/>
      <c r="C161" s="1287"/>
      <c r="D161" s="1287"/>
      <c r="E161" s="4034"/>
      <c r="F161" s="4034" t="s">
        <v>136</v>
      </c>
      <c r="G161" s="4034"/>
      <c r="H161" s="4033"/>
      <c r="I161" s="1287"/>
      <c r="J161" s="1287"/>
      <c r="K161" s="1287"/>
      <c r="L161" s="1293"/>
      <c r="M161" s="1289"/>
      <c r="N161" s="1289"/>
      <c r="O161" s="1290"/>
      <c r="P161" s="1718"/>
      <c r="Q161" s="309"/>
      <c r="R161" s="289"/>
      <c r="S161" s="1310"/>
      <c r="T161" s="1311"/>
      <c r="U161" s="1312"/>
      <c r="V161" s="1312"/>
      <c r="W161" s="1312"/>
      <c r="X161" s="1312"/>
      <c r="Y161" s="1312"/>
      <c r="Z161" s="1312"/>
      <c r="AA161" s="1312"/>
      <c r="AB161" s="1312"/>
      <c r="AC161" s="1312"/>
      <c r="AD161" s="1312"/>
      <c r="AE161" s="1312"/>
      <c r="AF161" s="1312"/>
      <c r="AG161" s="1312"/>
      <c r="AH161" s="1312"/>
      <c r="AI161" s="1312"/>
      <c r="AJ161" s="1312"/>
      <c r="AK161" s="1312"/>
      <c r="AL161" s="1312"/>
      <c r="AM161" s="1313"/>
      <c r="AN161" s="1566"/>
      <c r="AO161" s="1548"/>
      <c r="AP161" s="1548" t="str">
        <f t="shared" si="2"/>
        <v/>
      </c>
      <c r="AQ161" s="1548"/>
      <c r="AR161" s="1548"/>
      <c r="AS161" s="1559">
        <v>0</v>
      </c>
    </row>
    <row r="162" spans="1:45" s="556" customFormat="1" ht="0.75" customHeight="1">
      <c r="A162" s="1267"/>
      <c r="B162" s="1267"/>
      <c r="C162" s="1267"/>
      <c r="D162" s="1267"/>
      <c r="E162" s="4034"/>
      <c r="F162" s="4034" t="s">
        <v>136</v>
      </c>
      <c r="G162" s="4033"/>
      <c r="H162" s="1267"/>
      <c r="I162" s="1267"/>
      <c r="J162" s="1267"/>
      <c r="K162" s="1267"/>
      <c r="L162" s="1469"/>
      <c r="M162" s="1239"/>
      <c r="N162" s="1239"/>
      <c r="O162" s="1566"/>
      <c r="P162" s="1240"/>
      <c r="Q162" s="1268"/>
      <c r="R162" s="1240"/>
      <c r="S162" s="1242"/>
      <c r="T162" s="1243" t="s">
        <v>235</v>
      </c>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566"/>
      <c r="AO162" s="1548"/>
      <c r="AP162" s="1548" t="str">
        <f t="shared" si="2"/>
        <v>Добавить источник для дифференциации</v>
      </c>
      <c r="AQ162" s="1548"/>
      <c r="AR162" s="1548"/>
      <c r="AS162" s="1566">
        <v>0</v>
      </c>
    </row>
    <row r="163" spans="1:45" s="556" customFormat="1" ht="0.75" customHeight="1">
      <c r="A163" s="1267"/>
      <c r="B163" s="1267"/>
      <c r="C163" s="1267"/>
      <c r="D163" s="1267"/>
      <c r="E163" s="4034"/>
      <c r="F163" s="4033" t="s">
        <v>136</v>
      </c>
      <c r="G163" s="1267"/>
      <c r="H163" s="1267"/>
      <c r="I163" s="1267"/>
      <c r="J163" s="1267"/>
      <c r="K163" s="1267"/>
      <c r="L163" s="1469"/>
      <c r="M163" s="1245"/>
      <c r="N163" s="1245"/>
      <c r="O163" s="1566"/>
      <c r="P163" s="1240"/>
      <c r="Q163" s="1268"/>
      <c r="R163" s="1240"/>
      <c r="S163" s="1246"/>
      <c r="T163" s="1247" t="s">
        <v>236</v>
      </c>
      <c r="U163" s="1248"/>
      <c r="V163" s="1248"/>
      <c r="W163" s="1248"/>
      <c r="X163" s="1248"/>
      <c r="Y163" s="1248"/>
      <c r="Z163" s="1248"/>
      <c r="AA163" s="1248"/>
      <c r="AB163" s="1248"/>
      <c r="AC163" s="1248"/>
      <c r="AD163" s="1248"/>
      <c r="AE163" s="1248"/>
      <c r="AF163" s="1248"/>
      <c r="AG163" s="1248"/>
      <c r="AH163" s="1248"/>
      <c r="AI163" s="1248"/>
      <c r="AJ163" s="1248"/>
      <c r="AK163" s="1248"/>
      <c r="AL163" s="1248"/>
      <c r="AM163" s="1248"/>
      <c r="AN163" s="1566"/>
      <c r="AO163" s="1548"/>
      <c r="AP163" s="1548" t="str">
        <f t="shared" si="2"/>
        <v>Добавить централизованную систему для дифференциации</v>
      </c>
      <c r="AQ163" s="1548"/>
      <c r="AR163" s="1548"/>
      <c r="AS163" s="1566">
        <v>0</v>
      </c>
    </row>
    <row r="164" spans="1:45" s="1745" customFormat="1" ht="21" customHeight="1">
      <c r="A164" s="1287"/>
      <c r="B164" s="1287" t="s">
        <v>333</v>
      </c>
      <c r="C164" s="1287"/>
      <c r="D164" s="1287"/>
      <c r="E164" s="4034"/>
      <c r="F164" s="4033" t="s">
        <v>146</v>
      </c>
      <c r="G164" s="1287"/>
      <c r="H164" s="1287"/>
      <c r="I164" s="1287"/>
      <c r="J164" s="1287"/>
      <c r="K164" s="1287"/>
      <c r="L164" s="1293"/>
      <c r="M164" s="1289"/>
      <c r="N164" s="1289"/>
      <c r="O164" s="1289"/>
      <c r="P164" s="1970"/>
      <c r="Q164" s="286"/>
      <c r="R164" s="287"/>
      <c r="S164" s="1972" t="str">
        <f>INDEX(PT_DIFFERENTIATION_NUM_TER,MATCH(B164,PT_DIFFERENTIATION_TER_ID,0))</f>
        <v>1.11</v>
      </c>
      <c r="T164" s="1446" t="s">
        <v>605</v>
      </c>
      <c r="U164" s="235"/>
      <c r="V164" s="4027"/>
      <c r="W164" s="4028"/>
      <c r="X164" s="4028"/>
      <c r="Y164" s="4028"/>
      <c r="Z164" s="4028"/>
      <c r="AA164" s="4028"/>
      <c r="AB164" s="4028"/>
      <c r="AC164" s="4029"/>
      <c r="AD164" s="4027" t="str">
        <f>INDEX(PT_DIFFERENTIATION_TER,MATCH(B164,PT_DIFFERENTIATION_TER_ID,0))</f>
        <v>Территория 20</v>
      </c>
      <c r="AE164" s="4028"/>
      <c r="AF164" s="4028"/>
      <c r="AG164" s="4028"/>
      <c r="AH164" s="4028"/>
      <c r="AI164" s="4028"/>
      <c r="AJ164" s="4028"/>
      <c r="AK164" s="4028"/>
      <c r="AL164" s="4029"/>
      <c r="AM164" s="1182" t="s">
        <v>606</v>
      </c>
      <c r="AN164" s="1566"/>
      <c r="AO164" s="1548"/>
      <c r="AP164" s="1548" t="str">
        <f t="shared" si="2"/>
        <v>Территория действия тарифа</v>
      </c>
      <c r="AQ164" s="1548"/>
      <c r="AR164" s="1548"/>
      <c r="AS164" s="1559">
        <v>0</v>
      </c>
    </row>
    <row r="165" spans="1:45" s="1745" customFormat="1" ht="23.25" customHeight="1">
      <c r="A165" s="1287"/>
      <c r="B165" s="1287"/>
      <c r="C165" s="1287" t="s">
        <v>334</v>
      </c>
      <c r="D165" s="1287"/>
      <c r="E165" s="4034"/>
      <c r="F165" s="4034" t="s">
        <v>141</v>
      </c>
      <c r="G165" s="4033">
        <v>1</v>
      </c>
      <c r="H165" s="1287"/>
      <c r="I165" s="1287"/>
      <c r="J165" s="1287"/>
      <c r="K165" s="1287"/>
      <c r="L165" s="1293"/>
      <c r="M165" s="1289"/>
      <c r="N165" s="1289"/>
      <c r="O165" s="1289"/>
      <c r="P165" s="288"/>
      <c r="Q165" s="286"/>
      <c r="R165" s="287"/>
      <c r="S165" s="1972" t="str">
        <f>INDEX(PT_DIFFERENTIATION_NUM_CS,MATCH(C165,PT_DIFFERENTIATION_CS_ID,0))</f>
        <v>1.11.1</v>
      </c>
      <c r="T165" s="244" t="s">
        <v>607</v>
      </c>
      <c r="U165" s="235"/>
      <c r="V165" s="4027"/>
      <c r="W165" s="4028"/>
      <c r="X165" s="4028"/>
      <c r="Y165" s="4028"/>
      <c r="Z165" s="4028"/>
      <c r="AA165" s="4028"/>
      <c r="AB165" s="4028"/>
      <c r="AC165" s="4029"/>
      <c r="AD165" s="4027" t="str">
        <f>INDEX(PT_DIFFERENTIATION_CS,MATCH(C165,PT_DIFFERENTIATION_CS_ID,0))</f>
        <v>Сафоновский ТУ</v>
      </c>
      <c r="AE165" s="4028"/>
      <c r="AF165" s="4028"/>
      <c r="AG165" s="4028"/>
      <c r="AH165" s="4028"/>
      <c r="AI165" s="4028"/>
      <c r="AJ165" s="4028"/>
      <c r="AK165" s="4028"/>
      <c r="AL165" s="4029"/>
      <c r="AM165" s="1182" t="s">
        <v>608</v>
      </c>
      <c r="AN165" s="1566"/>
      <c r="AO165" s="1548"/>
      <c r="AP165" s="1548" t="str">
        <f t="shared" si="2"/>
        <v xml:space="preserve">Наименование системы теплоснабжения </v>
      </c>
      <c r="AQ165" s="1548"/>
      <c r="AR165" s="1548"/>
      <c r="AS165" s="1559">
        <v>0</v>
      </c>
    </row>
    <row r="166" spans="1:45" s="1745" customFormat="1" ht="21" customHeight="1">
      <c r="A166" s="1287"/>
      <c r="B166" s="1287"/>
      <c r="C166" s="1287"/>
      <c r="D166" s="1287" t="s">
        <v>335</v>
      </c>
      <c r="E166" s="4034"/>
      <c r="F166" s="4034" t="s">
        <v>141</v>
      </c>
      <c r="G166" s="4034"/>
      <c r="H166" s="4033">
        <v>1</v>
      </c>
      <c r="I166" s="1287"/>
      <c r="J166" s="1287"/>
      <c r="K166" s="1287"/>
      <c r="L166" s="1293"/>
      <c r="M166" s="1289"/>
      <c r="N166" s="1289"/>
      <c r="O166" s="1289"/>
      <c r="P166" s="288"/>
      <c r="Q166" s="286"/>
      <c r="R166" s="287"/>
      <c r="S166" s="1972" t="str">
        <f>INDEX(PT_DIFFERENTIATION_NUM_IST_TE,MATCH(D166,PT_DIFFERENTIATION_IST_TE_ID,0))</f>
        <v>1.11.1.1</v>
      </c>
      <c r="T166" s="245" t="s">
        <v>609</v>
      </c>
      <c r="U166" s="235"/>
      <c r="V166" s="4027"/>
      <c r="W166" s="4028"/>
      <c r="X166" s="4028"/>
      <c r="Y166" s="4028"/>
      <c r="Z166" s="4028"/>
      <c r="AA166" s="4028"/>
      <c r="AB166" s="4028"/>
      <c r="AC166" s="4029"/>
      <c r="AD166" s="4027" t="str">
        <f>INDEX(PT_DIFFERENTIATION_IST_TE,MATCH(D166,PT_DIFFERENTIATION_IST_TE_ID,0))</f>
        <v>без дифференциации</v>
      </c>
      <c r="AE166" s="4028"/>
      <c r="AF166" s="4028"/>
      <c r="AG166" s="4028"/>
      <c r="AH166" s="4028"/>
      <c r="AI166" s="4028"/>
      <c r="AJ166" s="4028"/>
      <c r="AK166" s="4028"/>
      <c r="AL166" s="4029"/>
      <c r="AM166" s="1182" t="s">
        <v>610</v>
      </c>
      <c r="AN166" s="1566"/>
      <c r="AO166" s="1548"/>
      <c r="AP166" s="1548" t="str">
        <f t="shared" si="2"/>
        <v xml:space="preserve">Источник тепловой энергии  </v>
      </c>
      <c r="AQ166" s="1548"/>
      <c r="AR166" s="1548"/>
      <c r="AS166" s="1559">
        <v>0</v>
      </c>
    </row>
    <row r="167" spans="1:45" s="1745" customFormat="1" ht="14.25" customHeight="1">
      <c r="A167" s="1287"/>
      <c r="B167" s="1287"/>
      <c r="C167" s="1287"/>
      <c r="D167" s="1287"/>
      <c r="E167" s="4034"/>
      <c r="F167" s="4034" t="s">
        <v>141</v>
      </c>
      <c r="G167" s="4034"/>
      <c r="H167" s="4034"/>
      <c r="I167" s="4035" t="str">
        <f>S166&amp;".1"</f>
        <v>1.11.1.1.1</v>
      </c>
      <c r="J167" s="1287"/>
      <c r="K167" s="1287"/>
      <c r="L167" s="1293" t="s">
        <v>611</v>
      </c>
      <c r="M167" s="1290"/>
      <c r="N167" s="1672"/>
      <c r="O167" s="1672"/>
      <c r="P167" s="4037">
        <v>1</v>
      </c>
      <c r="Q167" s="1974"/>
      <c r="R167" s="290"/>
      <c r="S167" s="1973"/>
      <c r="T167" s="1307"/>
      <c r="U167" s="1308"/>
      <c r="V167" s="4064"/>
      <c r="W167" s="4065"/>
      <c r="X167" s="4065"/>
      <c r="Y167" s="4065"/>
      <c r="Z167" s="4065"/>
      <c r="AA167" s="4065"/>
      <c r="AB167" s="4065"/>
      <c r="AC167" s="4066"/>
      <c r="AD167" s="4064"/>
      <c r="AE167" s="4065"/>
      <c r="AF167" s="4065"/>
      <c r="AG167" s="4065"/>
      <c r="AH167" s="4065"/>
      <c r="AI167" s="4065"/>
      <c r="AJ167" s="4065"/>
      <c r="AK167" s="4065"/>
      <c r="AL167" s="4066"/>
      <c r="AM167" s="1309"/>
      <c r="AN167" s="1566"/>
      <c r="AO167" s="1548"/>
      <c r="AP167" s="1548" t="str">
        <f t="shared" si="2"/>
        <v/>
      </c>
      <c r="AQ167" s="1548"/>
      <c r="AR167" s="1548"/>
      <c r="AS167" s="1559">
        <v>0</v>
      </c>
    </row>
    <row r="168" spans="1:45" s="1745" customFormat="1" ht="21" customHeight="1">
      <c r="A168" s="1287"/>
      <c r="B168" s="1287"/>
      <c r="C168" s="1287"/>
      <c r="D168" s="1287"/>
      <c r="E168" s="4034"/>
      <c r="F168" s="4034" t="s">
        <v>141</v>
      </c>
      <c r="G168" s="4034"/>
      <c r="H168" s="4034"/>
      <c r="I168" s="4036"/>
      <c r="J168" s="4035" t="str">
        <f>I167&amp;".1"</f>
        <v>1.11.1.1.1.1</v>
      </c>
      <c r="K168" s="1287"/>
      <c r="L168" s="1293" t="s">
        <v>614</v>
      </c>
      <c r="M168" s="1290"/>
      <c r="N168" s="1290"/>
      <c r="O168" s="1672"/>
      <c r="P168" s="4037"/>
      <c r="Q168" s="4037">
        <v>1</v>
      </c>
      <c r="R168" s="291"/>
      <c r="S168" s="1972" t="str">
        <f>$J168</f>
        <v>1.11.1.1.1.1</v>
      </c>
      <c r="T168" s="221" t="s">
        <v>615</v>
      </c>
      <c r="U168" s="235"/>
      <c r="V168" s="4021"/>
      <c r="W168" s="4022"/>
      <c r="X168" s="4022"/>
      <c r="Y168" s="4022"/>
      <c r="Z168" s="4022"/>
      <c r="AA168" s="4022"/>
      <c r="AB168" s="4022"/>
      <c r="AC168" s="4023"/>
      <c r="AD168" s="4021" t="s">
        <v>654</v>
      </c>
      <c r="AE168" s="4022"/>
      <c r="AF168" s="4022"/>
      <c r="AG168" s="4022"/>
      <c r="AH168" s="4022"/>
      <c r="AI168" s="4022"/>
      <c r="AJ168" s="4022"/>
      <c r="AK168" s="4022"/>
      <c r="AL168" s="4023"/>
      <c r="AM168" s="1182" t="s">
        <v>616</v>
      </c>
      <c r="AN168" s="1566"/>
      <c r="AO168" s="1548"/>
      <c r="AP168" s="1548" t="str">
        <f t="shared" si="2"/>
        <v>Группа потребителей</v>
      </c>
      <c r="AQ168" s="1548"/>
      <c r="AR168" s="1548"/>
      <c r="AS168" s="1559">
        <v>0</v>
      </c>
    </row>
    <row r="169" spans="1:45" s="1745" customFormat="1" ht="21" customHeight="1">
      <c r="A169" s="1287"/>
      <c r="B169" s="1287"/>
      <c r="C169" s="1287"/>
      <c r="D169" s="1287"/>
      <c r="E169" s="4034"/>
      <c r="F169" s="4034" t="s">
        <v>141</v>
      </c>
      <c r="G169" s="4034"/>
      <c r="H169" s="4034"/>
      <c r="I169" s="4036"/>
      <c r="J169" s="4036"/>
      <c r="K169" s="4035" t="str">
        <f>J168&amp;".1"</f>
        <v>1.11.1.1.1.1.1</v>
      </c>
      <c r="L169" s="1293" t="s">
        <v>617</v>
      </c>
      <c r="M169" s="1290"/>
      <c r="N169" s="1290"/>
      <c r="O169" s="1290"/>
      <c r="P169" s="4037"/>
      <c r="Q169" s="4037"/>
      <c r="R169" s="291">
        <v>1</v>
      </c>
      <c r="S169" s="1972" t="str">
        <f>$K169</f>
        <v>1.11.1.1.1.1.1</v>
      </c>
      <c r="T169" s="1271" t="s">
        <v>656</v>
      </c>
      <c r="U169" s="235"/>
      <c r="V169" s="685"/>
      <c r="W169" s="260"/>
      <c r="X169" s="685"/>
      <c r="Y169" s="1181"/>
      <c r="Z169" s="4038"/>
      <c r="AA169" s="3899" t="s">
        <v>53</v>
      </c>
      <c r="AB169" s="4038"/>
      <c r="AC169" s="3899" t="s">
        <v>53</v>
      </c>
      <c r="AD169" s="685">
        <v>356.22</v>
      </c>
      <c r="AE169" s="260"/>
      <c r="AF169" s="685"/>
      <c r="AG169" s="1181"/>
      <c r="AH169" s="4038">
        <v>46023.371458333335</v>
      </c>
      <c r="AI169" s="3899" t="s">
        <v>53</v>
      </c>
      <c r="AJ169" s="4038">
        <v>46387.371608796297</v>
      </c>
      <c r="AK169" s="3899" t="s">
        <v>53</v>
      </c>
      <c r="AL169" s="260"/>
      <c r="AM169" s="4056" t="s">
        <v>618</v>
      </c>
      <c r="AN169" s="1566" t="e">
        <f ca="1">STRCHECKDATE(V170:AL170)</f>
        <v>#NAME?</v>
      </c>
      <c r="AO169" s="1548"/>
      <c r="AP169" s="1548" t="str">
        <f t="shared" si="2"/>
        <v>вода</v>
      </c>
      <c r="AQ169" s="1548"/>
      <c r="AR169" s="1548"/>
      <c r="AS169" s="1559">
        <v>0</v>
      </c>
    </row>
    <row r="170" spans="1:45" s="1745" customFormat="1" ht="0.75" customHeight="1">
      <c r="A170" s="1287"/>
      <c r="B170" s="1287"/>
      <c r="C170" s="1287"/>
      <c r="D170" s="1287"/>
      <c r="E170" s="4034"/>
      <c r="F170" s="4034" t="s">
        <v>141</v>
      </c>
      <c r="G170" s="4034"/>
      <c r="H170" s="4034"/>
      <c r="I170" s="4036"/>
      <c r="J170" s="4036"/>
      <c r="K170" s="4035"/>
      <c r="L170" s="1293"/>
      <c r="M170" s="1290"/>
      <c r="N170" s="1290"/>
      <c r="O170" s="1290"/>
      <c r="P170" s="4037"/>
      <c r="Q170" s="4037"/>
      <c r="R170" s="291"/>
      <c r="S170" s="1978"/>
      <c r="T170" s="235"/>
      <c r="U170" s="235"/>
      <c r="V170" s="260"/>
      <c r="W170" s="260"/>
      <c r="X170" s="260"/>
      <c r="Y170" s="263" t="str">
        <f>Z169&amp;"-"&amp;AB169</f>
        <v>-</v>
      </c>
      <c r="Z170" s="4039"/>
      <c r="AA170" s="3899"/>
      <c r="AB170" s="4039"/>
      <c r="AC170" s="3899"/>
      <c r="AD170" s="260"/>
      <c r="AE170" s="260"/>
      <c r="AF170" s="260"/>
      <c r="AG170" s="263" t="str">
        <f>AH169&amp;"-"&amp;AJ169</f>
        <v>46023,3714583333-46387,3716087962</v>
      </c>
      <c r="AH170" s="4039"/>
      <c r="AI170" s="3899"/>
      <c r="AJ170" s="4039"/>
      <c r="AK170" s="3899"/>
      <c r="AL170" s="260"/>
      <c r="AM170" s="4057"/>
      <c r="AN170" s="1566"/>
      <c r="AO170" s="1548"/>
      <c r="AP170" s="1548" t="str">
        <f t="shared" si="2"/>
        <v/>
      </c>
      <c r="AQ170" s="1548"/>
      <c r="AR170" s="1548"/>
      <c r="AS170" s="1559">
        <v>0</v>
      </c>
    </row>
    <row r="171" spans="1:45" s="1745" customFormat="1" ht="15" customHeight="1">
      <c r="A171" s="1287"/>
      <c r="B171" s="1287"/>
      <c r="C171" s="1287"/>
      <c r="D171" s="1287"/>
      <c r="E171" s="4034"/>
      <c r="F171" s="4034" t="s">
        <v>141</v>
      </c>
      <c r="G171" s="4034"/>
      <c r="H171" s="4034"/>
      <c r="I171" s="4036"/>
      <c r="J171" s="4035"/>
      <c r="K171" s="1287"/>
      <c r="L171" s="1293"/>
      <c r="M171" s="1290"/>
      <c r="N171" s="1290"/>
      <c r="O171" s="1672"/>
      <c r="P171" s="4037"/>
      <c r="Q171" s="4037"/>
      <c r="R171" s="290"/>
      <c r="S171" s="3290"/>
      <c r="T171" s="3291" t="s">
        <v>619</v>
      </c>
      <c r="U171" s="3292"/>
      <c r="V171" s="3293"/>
      <c r="W171" s="3294"/>
      <c r="X171" s="3295"/>
      <c r="Y171" s="3296"/>
      <c r="Z171" s="3297"/>
      <c r="AA171" s="3298"/>
      <c r="AB171" s="3299"/>
      <c r="AC171" s="3300"/>
      <c r="AD171" s="3301"/>
      <c r="AE171" s="3302"/>
      <c r="AF171" s="3303"/>
      <c r="AG171" s="3304"/>
      <c r="AH171" s="3305"/>
      <c r="AI171" s="3306"/>
      <c r="AJ171" s="3307"/>
      <c r="AK171" s="3308"/>
      <c r="AL171" s="3309"/>
      <c r="AM171" s="4058"/>
      <c r="AN171" s="1566"/>
      <c r="AO171" s="1548"/>
      <c r="AP171" s="1548" t="str">
        <f t="shared" ref="AP171:AP234" si="3">IF(T171="","",T171)</f>
        <v>Добавить вид теплоносителя (параметры теплоносителя)</v>
      </c>
      <c r="AQ171" s="1548"/>
      <c r="AR171" s="1548"/>
      <c r="AS171" s="1559">
        <v>0</v>
      </c>
    </row>
    <row r="172" spans="1:45" s="1745" customFormat="1" ht="15" customHeight="1">
      <c r="A172" s="1287"/>
      <c r="B172" s="1287"/>
      <c r="C172" s="1287"/>
      <c r="D172" s="1287"/>
      <c r="E172" s="4034"/>
      <c r="F172" s="4034" t="s">
        <v>141</v>
      </c>
      <c r="G172" s="4034"/>
      <c r="H172" s="4034"/>
      <c r="I172" s="4035"/>
      <c r="J172" s="1287"/>
      <c r="K172" s="1287"/>
      <c r="L172" s="1293"/>
      <c r="M172" s="1290"/>
      <c r="N172" s="1672"/>
      <c r="O172" s="1672"/>
      <c r="P172" s="4037"/>
      <c r="Q172" s="1974"/>
      <c r="R172" s="290"/>
      <c r="S172" s="3310"/>
      <c r="T172" s="3311" t="s">
        <v>620</v>
      </c>
      <c r="U172" s="3312"/>
      <c r="V172" s="3313"/>
      <c r="W172" s="3314"/>
      <c r="X172" s="3315"/>
      <c r="Y172" s="3316"/>
      <c r="Z172" s="3317"/>
      <c r="AA172" s="3318"/>
      <c r="AB172" s="3319"/>
      <c r="AC172" s="3320"/>
      <c r="AD172" s="3321"/>
      <c r="AE172" s="3322"/>
      <c r="AF172" s="3323"/>
      <c r="AG172" s="3324"/>
      <c r="AH172" s="3325"/>
      <c r="AI172" s="3326"/>
      <c r="AJ172" s="3327"/>
      <c r="AK172" s="3328"/>
      <c r="AL172" s="3329"/>
      <c r="AM172" s="3330"/>
      <c r="AN172" s="1566"/>
      <c r="AO172" s="1548"/>
      <c r="AP172" s="1548" t="str">
        <f t="shared" si="3"/>
        <v>Добавить группу потребителей</v>
      </c>
      <c r="AQ172" s="1548"/>
      <c r="AR172" s="1548"/>
      <c r="AS172" s="1559">
        <v>0</v>
      </c>
    </row>
    <row r="173" spans="1:45" s="1745" customFormat="1" ht="14.25" customHeight="1">
      <c r="A173" s="1287"/>
      <c r="B173" s="1287"/>
      <c r="C173" s="1287"/>
      <c r="D173" s="1287"/>
      <c r="E173" s="4034"/>
      <c r="F173" s="4034" t="s">
        <v>141</v>
      </c>
      <c r="G173" s="4034"/>
      <c r="H173" s="4033"/>
      <c r="I173" s="1287"/>
      <c r="J173" s="1287"/>
      <c r="K173" s="1287"/>
      <c r="L173" s="1293"/>
      <c r="M173" s="1289"/>
      <c r="N173" s="1289"/>
      <c r="O173" s="1290"/>
      <c r="P173" s="1718"/>
      <c r="Q173" s="309"/>
      <c r="R173" s="289"/>
      <c r="S173" s="1310"/>
      <c r="T173" s="1311"/>
      <c r="U173" s="1312"/>
      <c r="V173" s="1312"/>
      <c r="W173" s="1312"/>
      <c r="X173" s="1312"/>
      <c r="Y173" s="1312"/>
      <c r="Z173" s="1312"/>
      <c r="AA173" s="1312"/>
      <c r="AB173" s="1312"/>
      <c r="AC173" s="1312"/>
      <c r="AD173" s="1312"/>
      <c r="AE173" s="1312"/>
      <c r="AF173" s="1312"/>
      <c r="AG173" s="1312"/>
      <c r="AH173" s="1312"/>
      <c r="AI173" s="1312"/>
      <c r="AJ173" s="1312"/>
      <c r="AK173" s="1312"/>
      <c r="AL173" s="1312"/>
      <c r="AM173" s="1313"/>
      <c r="AN173" s="1566"/>
      <c r="AO173" s="1548"/>
      <c r="AP173" s="1548" t="str">
        <f t="shared" si="3"/>
        <v/>
      </c>
      <c r="AQ173" s="1548"/>
      <c r="AR173" s="1548"/>
      <c r="AS173" s="1559">
        <v>0</v>
      </c>
    </row>
    <row r="174" spans="1:45" s="556" customFormat="1" ht="0.75" customHeight="1">
      <c r="A174" s="1267"/>
      <c r="B174" s="1267"/>
      <c r="C174" s="1267"/>
      <c r="D174" s="1267"/>
      <c r="E174" s="4034"/>
      <c r="F174" s="4034" t="s">
        <v>141</v>
      </c>
      <c r="G174" s="4033"/>
      <c r="H174" s="1267"/>
      <c r="I174" s="1267"/>
      <c r="J174" s="1267"/>
      <c r="K174" s="1267"/>
      <c r="L174" s="1469"/>
      <c r="M174" s="1239"/>
      <c r="N174" s="1239"/>
      <c r="O174" s="1566"/>
      <c r="P174" s="1240"/>
      <c r="Q174" s="1268"/>
      <c r="R174" s="1240"/>
      <c r="S174" s="1242"/>
      <c r="T174" s="1243" t="s">
        <v>235</v>
      </c>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566"/>
      <c r="AO174" s="1548"/>
      <c r="AP174" s="1548" t="str">
        <f t="shared" si="3"/>
        <v>Добавить источник для дифференциации</v>
      </c>
      <c r="AQ174" s="1548"/>
      <c r="AR174" s="1548"/>
      <c r="AS174" s="1566">
        <v>0</v>
      </c>
    </row>
    <row r="175" spans="1:45" s="1745" customFormat="1" ht="23.25" customHeight="1">
      <c r="A175" s="1287"/>
      <c r="B175" s="1287"/>
      <c r="C175" s="1287" t="s">
        <v>336</v>
      </c>
      <c r="D175" s="1287"/>
      <c r="E175" s="4034"/>
      <c r="F175" s="4034"/>
      <c r="G175" s="4033" t="s">
        <v>77</v>
      </c>
      <c r="H175" s="1287"/>
      <c r="I175" s="1287"/>
      <c r="J175" s="1287"/>
      <c r="K175" s="1287"/>
      <c r="L175" s="1293"/>
      <c r="M175" s="1289"/>
      <c r="N175" s="1289"/>
      <c r="O175" s="1289"/>
      <c r="P175" s="288"/>
      <c r="Q175" s="286"/>
      <c r="R175" s="287"/>
      <c r="S175" s="1972" t="str">
        <f>INDEX(PT_DIFFERENTIATION_NUM_CS,MATCH(C175,PT_DIFFERENTIATION_CS_ID,0))</f>
        <v>1.11.2</v>
      </c>
      <c r="T175" s="244" t="s">
        <v>607</v>
      </c>
      <c r="U175" s="235"/>
      <c r="V175" s="4027"/>
      <c r="W175" s="4028"/>
      <c r="X175" s="4028"/>
      <c r="Y175" s="4028"/>
      <c r="Z175" s="4028"/>
      <c r="AA175" s="4028"/>
      <c r="AB175" s="4028"/>
      <c r="AC175" s="4029"/>
      <c r="AD175" s="4027" t="str">
        <f>INDEX(PT_DIFFERENTIATION_CS,MATCH(C175,PT_DIFFERENTIATION_CS_ID,0))</f>
        <v xml:space="preserve">котельная  №16 г. Сафоново, ул. Советская
</v>
      </c>
      <c r="AE175" s="4028"/>
      <c r="AF175" s="4028"/>
      <c r="AG175" s="4028"/>
      <c r="AH175" s="4028"/>
      <c r="AI175" s="4028"/>
      <c r="AJ175" s="4028"/>
      <c r="AK175" s="4028"/>
      <c r="AL175" s="4029"/>
      <c r="AM175" s="1182" t="s">
        <v>608</v>
      </c>
      <c r="AN175" s="1566"/>
      <c r="AO175" s="1548"/>
      <c r="AP175" s="1548" t="str">
        <f t="shared" si="3"/>
        <v xml:space="preserve">Наименование системы теплоснабжения </v>
      </c>
      <c r="AQ175" s="1548"/>
      <c r="AR175" s="1548"/>
      <c r="AS175" s="1559">
        <v>0</v>
      </c>
    </row>
    <row r="176" spans="1:45" s="1745" customFormat="1" ht="21" customHeight="1">
      <c r="A176" s="1287"/>
      <c r="B176" s="1287"/>
      <c r="C176" s="1287"/>
      <c r="D176" s="1287" t="s">
        <v>337</v>
      </c>
      <c r="E176" s="4034"/>
      <c r="F176" s="4034"/>
      <c r="G176" s="4034" t="s">
        <v>89</v>
      </c>
      <c r="H176" s="4033">
        <v>1</v>
      </c>
      <c r="I176" s="1287"/>
      <c r="J176" s="1287"/>
      <c r="K176" s="1287"/>
      <c r="L176" s="1293"/>
      <c r="M176" s="1289"/>
      <c r="N176" s="1289"/>
      <c r="O176" s="1289"/>
      <c r="P176" s="288"/>
      <c r="Q176" s="286"/>
      <c r="R176" s="287"/>
      <c r="S176" s="1972" t="str">
        <f>INDEX(PT_DIFFERENTIATION_NUM_IST_TE,MATCH(D176,PT_DIFFERENTIATION_IST_TE_ID,0))</f>
        <v>1.11.2.1</v>
      </c>
      <c r="T176" s="245" t="s">
        <v>609</v>
      </c>
      <c r="U176" s="235"/>
      <c r="V176" s="4027"/>
      <c r="W176" s="4028"/>
      <c r="X176" s="4028"/>
      <c r="Y176" s="4028"/>
      <c r="Z176" s="4028"/>
      <c r="AA176" s="4028"/>
      <c r="AB176" s="4028"/>
      <c r="AC176" s="4029"/>
      <c r="AD176" s="4027" t="str">
        <f>INDEX(PT_DIFFERENTIATION_IST_TE,MATCH(D176,PT_DIFFERENTIATION_IST_TE_ID,0))</f>
        <v>без дифференциации</v>
      </c>
      <c r="AE176" s="4028"/>
      <c r="AF176" s="4028"/>
      <c r="AG176" s="4028"/>
      <c r="AH176" s="4028"/>
      <c r="AI176" s="4028"/>
      <c r="AJ176" s="4028"/>
      <c r="AK176" s="4028"/>
      <c r="AL176" s="4029"/>
      <c r="AM176" s="1182" t="s">
        <v>610</v>
      </c>
      <c r="AN176" s="1566"/>
      <c r="AO176" s="1548"/>
      <c r="AP176" s="1548" t="str">
        <f t="shared" si="3"/>
        <v xml:space="preserve">Источник тепловой энергии  </v>
      </c>
      <c r="AQ176" s="1548"/>
      <c r="AR176" s="1548"/>
      <c r="AS176" s="1559">
        <v>0</v>
      </c>
    </row>
    <row r="177" spans="1:45" s="1745" customFormat="1" ht="14.25" customHeight="1">
      <c r="A177" s="1287"/>
      <c r="B177" s="1287"/>
      <c r="C177" s="1287"/>
      <c r="D177" s="1287"/>
      <c r="E177" s="4034"/>
      <c r="F177" s="4034"/>
      <c r="G177" s="4034" t="s">
        <v>89</v>
      </c>
      <c r="H177" s="4034"/>
      <c r="I177" s="4035" t="str">
        <f>S176&amp;".1"</f>
        <v>1.11.2.1.1</v>
      </c>
      <c r="J177" s="1287"/>
      <c r="K177" s="1287"/>
      <c r="L177" s="1293" t="s">
        <v>611</v>
      </c>
      <c r="M177" s="1290"/>
      <c r="N177" s="1672"/>
      <c r="O177" s="1672"/>
      <c r="P177" s="4037">
        <v>1</v>
      </c>
      <c r="Q177" s="1974"/>
      <c r="R177" s="290"/>
      <c r="S177" s="1973"/>
      <c r="T177" s="1307"/>
      <c r="U177" s="1308"/>
      <c r="V177" s="4064"/>
      <c r="W177" s="4065"/>
      <c r="X177" s="4065"/>
      <c r="Y177" s="4065"/>
      <c r="Z177" s="4065"/>
      <c r="AA177" s="4065"/>
      <c r="AB177" s="4065"/>
      <c r="AC177" s="4066"/>
      <c r="AD177" s="4064"/>
      <c r="AE177" s="4065"/>
      <c r="AF177" s="4065"/>
      <c r="AG177" s="4065"/>
      <c r="AH177" s="4065"/>
      <c r="AI177" s="4065"/>
      <c r="AJ177" s="4065"/>
      <c r="AK177" s="4065"/>
      <c r="AL177" s="4066"/>
      <c r="AM177" s="1309"/>
      <c r="AN177" s="1566"/>
      <c r="AO177" s="1548"/>
      <c r="AP177" s="1548" t="str">
        <f t="shared" si="3"/>
        <v/>
      </c>
      <c r="AQ177" s="1548"/>
      <c r="AR177" s="1548"/>
      <c r="AS177" s="1559">
        <v>0</v>
      </c>
    </row>
    <row r="178" spans="1:45" s="1745" customFormat="1" ht="21" customHeight="1">
      <c r="A178" s="1287"/>
      <c r="B178" s="1287"/>
      <c r="C178" s="1287"/>
      <c r="D178" s="1287"/>
      <c r="E178" s="4034"/>
      <c r="F178" s="4034"/>
      <c r="G178" s="4034" t="s">
        <v>89</v>
      </c>
      <c r="H178" s="4034"/>
      <c r="I178" s="4036"/>
      <c r="J178" s="4035" t="str">
        <f>I177&amp;".1"</f>
        <v>1.11.2.1.1.1</v>
      </c>
      <c r="K178" s="1287"/>
      <c r="L178" s="1293" t="s">
        <v>614</v>
      </c>
      <c r="M178" s="1290"/>
      <c r="N178" s="1290"/>
      <c r="O178" s="1672"/>
      <c r="P178" s="4037"/>
      <c r="Q178" s="4037">
        <v>1</v>
      </c>
      <c r="R178" s="291"/>
      <c r="S178" s="1972" t="str">
        <f>$J178</f>
        <v>1.11.2.1.1.1</v>
      </c>
      <c r="T178" s="221" t="s">
        <v>615</v>
      </c>
      <c r="U178" s="235"/>
      <c r="V178" s="4021"/>
      <c r="W178" s="4022"/>
      <c r="X178" s="4022"/>
      <c r="Y178" s="4022"/>
      <c r="Z178" s="4022"/>
      <c r="AA178" s="4022"/>
      <c r="AB178" s="4022"/>
      <c r="AC178" s="4023"/>
      <c r="AD178" s="4021" t="s">
        <v>654</v>
      </c>
      <c r="AE178" s="4022"/>
      <c r="AF178" s="4022"/>
      <c r="AG178" s="4022"/>
      <c r="AH178" s="4022"/>
      <c r="AI178" s="4022"/>
      <c r="AJ178" s="4022"/>
      <c r="AK178" s="4022"/>
      <c r="AL178" s="4023"/>
      <c r="AM178" s="1182" t="s">
        <v>616</v>
      </c>
      <c r="AN178" s="1566"/>
      <c r="AO178" s="1548"/>
      <c r="AP178" s="1548" t="str">
        <f t="shared" si="3"/>
        <v>Группа потребителей</v>
      </c>
      <c r="AQ178" s="1548"/>
      <c r="AR178" s="1548"/>
      <c r="AS178" s="1559">
        <v>0</v>
      </c>
    </row>
    <row r="179" spans="1:45" s="1745" customFormat="1" ht="21" customHeight="1">
      <c r="A179" s="1287"/>
      <c r="B179" s="1287"/>
      <c r="C179" s="1287"/>
      <c r="D179" s="1287"/>
      <c r="E179" s="4034"/>
      <c r="F179" s="4034"/>
      <c r="G179" s="4034" t="s">
        <v>89</v>
      </c>
      <c r="H179" s="4034"/>
      <c r="I179" s="4036"/>
      <c r="J179" s="4036"/>
      <c r="K179" s="4035" t="str">
        <f>J178&amp;".1"</f>
        <v>1.11.2.1.1.1.1</v>
      </c>
      <c r="L179" s="1293" t="s">
        <v>617</v>
      </c>
      <c r="M179" s="1290"/>
      <c r="N179" s="1290"/>
      <c r="O179" s="1290"/>
      <c r="P179" s="4037"/>
      <c r="Q179" s="4037"/>
      <c r="R179" s="291">
        <v>1</v>
      </c>
      <c r="S179" s="1972" t="str">
        <f>$K179</f>
        <v>1.11.2.1.1.1.1</v>
      </c>
      <c r="T179" s="1271" t="s">
        <v>656</v>
      </c>
      <c r="U179" s="235"/>
      <c r="V179" s="685"/>
      <c r="W179" s="260"/>
      <c r="X179" s="685"/>
      <c r="Y179" s="1181"/>
      <c r="Z179" s="4038"/>
      <c r="AA179" s="3899" t="s">
        <v>53</v>
      </c>
      <c r="AB179" s="4038"/>
      <c r="AC179" s="3899" t="s">
        <v>53</v>
      </c>
      <c r="AD179" s="685">
        <v>287.98</v>
      </c>
      <c r="AE179" s="260"/>
      <c r="AF179" s="685"/>
      <c r="AG179" s="1181"/>
      <c r="AH179" s="4038">
        <v>46023.444108796299</v>
      </c>
      <c r="AI179" s="3899" t="s">
        <v>53</v>
      </c>
      <c r="AJ179" s="4038">
        <v>46387.444178240738</v>
      </c>
      <c r="AK179" s="3899" t="s">
        <v>53</v>
      </c>
      <c r="AL179" s="260"/>
      <c r="AM179" s="4056" t="s">
        <v>618</v>
      </c>
      <c r="AN179" s="1566" t="e">
        <f ca="1">STRCHECKDATE(V180:AL180)</f>
        <v>#NAME?</v>
      </c>
      <c r="AO179" s="1548"/>
      <c r="AP179" s="1548" t="str">
        <f t="shared" si="3"/>
        <v>вода</v>
      </c>
      <c r="AQ179" s="1548"/>
      <c r="AR179" s="1548"/>
      <c r="AS179" s="1559">
        <v>0</v>
      </c>
    </row>
    <row r="180" spans="1:45" s="1745" customFormat="1" ht="0.75" customHeight="1">
      <c r="A180" s="1287"/>
      <c r="B180" s="1287"/>
      <c r="C180" s="1287"/>
      <c r="D180" s="1287"/>
      <c r="E180" s="4034"/>
      <c r="F180" s="4034"/>
      <c r="G180" s="4034" t="s">
        <v>89</v>
      </c>
      <c r="H180" s="4034"/>
      <c r="I180" s="4036"/>
      <c r="J180" s="4036"/>
      <c r="K180" s="4035"/>
      <c r="L180" s="1293"/>
      <c r="M180" s="1290"/>
      <c r="N180" s="1290"/>
      <c r="O180" s="1290"/>
      <c r="P180" s="4037"/>
      <c r="Q180" s="4037"/>
      <c r="R180" s="291"/>
      <c r="S180" s="1978"/>
      <c r="T180" s="235"/>
      <c r="U180" s="235"/>
      <c r="V180" s="260"/>
      <c r="W180" s="260"/>
      <c r="X180" s="260"/>
      <c r="Y180" s="263" t="str">
        <f>Z179&amp;"-"&amp;AB179</f>
        <v>-</v>
      </c>
      <c r="Z180" s="4039"/>
      <c r="AA180" s="3899"/>
      <c r="AB180" s="4039"/>
      <c r="AC180" s="3899"/>
      <c r="AD180" s="260"/>
      <c r="AE180" s="260"/>
      <c r="AF180" s="260"/>
      <c r="AG180" s="263" t="str">
        <f>AH179&amp;"-"&amp;AJ179</f>
        <v>46023,4441087963-46387,4441782407</v>
      </c>
      <c r="AH180" s="4039"/>
      <c r="AI180" s="3899"/>
      <c r="AJ180" s="4039"/>
      <c r="AK180" s="3899"/>
      <c r="AL180" s="260"/>
      <c r="AM180" s="4057"/>
      <c r="AN180" s="1566"/>
      <c r="AO180" s="1548"/>
      <c r="AP180" s="1548" t="str">
        <f t="shared" si="3"/>
        <v/>
      </c>
      <c r="AQ180" s="1548"/>
      <c r="AR180" s="1548"/>
      <c r="AS180" s="1559">
        <v>0</v>
      </c>
    </row>
    <row r="181" spans="1:45" s="1745" customFormat="1" ht="15" customHeight="1">
      <c r="A181" s="1287"/>
      <c r="B181" s="1287"/>
      <c r="C181" s="1287"/>
      <c r="D181" s="1287"/>
      <c r="E181" s="4034"/>
      <c r="F181" s="4034"/>
      <c r="G181" s="4034" t="s">
        <v>89</v>
      </c>
      <c r="H181" s="4034"/>
      <c r="I181" s="4036"/>
      <c r="J181" s="4035"/>
      <c r="K181" s="1287"/>
      <c r="L181" s="1293"/>
      <c r="M181" s="1290"/>
      <c r="N181" s="1290"/>
      <c r="O181" s="1672"/>
      <c r="P181" s="4037"/>
      <c r="Q181" s="4037"/>
      <c r="R181" s="290"/>
      <c r="S181" s="3537"/>
      <c r="T181" s="3538" t="s">
        <v>619</v>
      </c>
      <c r="U181" s="3539"/>
      <c r="V181" s="3540"/>
      <c r="W181" s="3541"/>
      <c r="X181" s="3542"/>
      <c r="Y181" s="3543"/>
      <c r="Z181" s="3544"/>
      <c r="AA181" s="3545"/>
      <c r="AB181" s="3546"/>
      <c r="AC181" s="3547"/>
      <c r="AD181" s="3548"/>
      <c r="AE181" s="3549"/>
      <c r="AF181" s="3550"/>
      <c r="AG181" s="3551"/>
      <c r="AH181" s="3552"/>
      <c r="AI181" s="3553"/>
      <c r="AJ181" s="3554"/>
      <c r="AK181" s="3555"/>
      <c r="AL181" s="3556"/>
      <c r="AM181" s="4058"/>
      <c r="AN181" s="1566"/>
      <c r="AO181" s="1548"/>
      <c r="AP181" s="1548" t="str">
        <f t="shared" si="3"/>
        <v>Добавить вид теплоносителя (параметры теплоносителя)</v>
      </c>
      <c r="AQ181" s="1548"/>
      <c r="AR181" s="1548"/>
      <c r="AS181" s="1559">
        <v>0</v>
      </c>
    </row>
    <row r="182" spans="1:45" s="1745" customFormat="1" ht="15" customHeight="1">
      <c r="A182" s="1287"/>
      <c r="B182" s="1287"/>
      <c r="C182" s="1287"/>
      <c r="D182" s="1287"/>
      <c r="E182" s="4034"/>
      <c r="F182" s="4034"/>
      <c r="G182" s="4034" t="s">
        <v>89</v>
      </c>
      <c r="H182" s="4034"/>
      <c r="I182" s="4035"/>
      <c r="J182" s="1287"/>
      <c r="K182" s="1287"/>
      <c r="L182" s="1293"/>
      <c r="M182" s="1290"/>
      <c r="N182" s="1672"/>
      <c r="O182" s="1672"/>
      <c r="P182" s="4037"/>
      <c r="Q182" s="1974"/>
      <c r="R182" s="290"/>
      <c r="S182" s="3557"/>
      <c r="T182" s="3558" t="s">
        <v>620</v>
      </c>
      <c r="U182" s="3559"/>
      <c r="V182" s="3560"/>
      <c r="W182" s="3561"/>
      <c r="X182" s="3562"/>
      <c r="Y182" s="3563"/>
      <c r="Z182" s="3564"/>
      <c r="AA182" s="3565"/>
      <c r="AB182" s="3566"/>
      <c r="AC182" s="3567"/>
      <c r="AD182" s="3568"/>
      <c r="AE182" s="3569"/>
      <c r="AF182" s="3570"/>
      <c r="AG182" s="3571"/>
      <c r="AH182" s="3572"/>
      <c r="AI182" s="3573"/>
      <c r="AJ182" s="3574"/>
      <c r="AK182" s="3575"/>
      <c r="AL182" s="3576"/>
      <c r="AM182" s="3577"/>
      <c r="AN182" s="1566"/>
      <c r="AO182" s="1548"/>
      <c r="AP182" s="1548" t="str">
        <f t="shared" si="3"/>
        <v>Добавить группу потребителей</v>
      </c>
      <c r="AQ182" s="1548"/>
      <c r="AR182" s="1548"/>
      <c r="AS182" s="1559">
        <v>0</v>
      </c>
    </row>
    <row r="183" spans="1:45" s="1745" customFormat="1" ht="14.25" customHeight="1">
      <c r="A183" s="1287"/>
      <c r="B183" s="1287"/>
      <c r="C183" s="1287"/>
      <c r="D183" s="1287"/>
      <c r="E183" s="4034"/>
      <c r="F183" s="4034"/>
      <c r="G183" s="4034" t="s">
        <v>89</v>
      </c>
      <c r="H183" s="4033"/>
      <c r="I183" s="1287"/>
      <c r="J183" s="1287"/>
      <c r="K183" s="1287"/>
      <c r="L183" s="1293"/>
      <c r="M183" s="1289"/>
      <c r="N183" s="1289"/>
      <c r="O183" s="1290"/>
      <c r="P183" s="1718"/>
      <c r="Q183" s="309"/>
      <c r="R183" s="289"/>
      <c r="S183" s="1310"/>
      <c r="T183" s="1311"/>
      <c r="U183" s="1312"/>
      <c r="V183" s="1312"/>
      <c r="W183" s="1312"/>
      <c r="X183" s="1312"/>
      <c r="Y183" s="1312"/>
      <c r="Z183" s="1312"/>
      <c r="AA183" s="1312"/>
      <c r="AB183" s="1312"/>
      <c r="AC183" s="1312"/>
      <c r="AD183" s="1312"/>
      <c r="AE183" s="1312"/>
      <c r="AF183" s="1312"/>
      <c r="AG183" s="1312"/>
      <c r="AH183" s="1312"/>
      <c r="AI183" s="1312"/>
      <c r="AJ183" s="1312"/>
      <c r="AK183" s="1312"/>
      <c r="AL183" s="1312"/>
      <c r="AM183" s="1313"/>
      <c r="AN183" s="1566"/>
      <c r="AO183" s="1548"/>
      <c r="AP183" s="1548" t="str">
        <f t="shared" si="3"/>
        <v/>
      </c>
      <c r="AQ183" s="1548"/>
      <c r="AR183" s="1548"/>
      <c r="AS183" s="1559">
        <v>0</v>
      </c>
    </row>
    <row r="184" spans="1:45" s="556" customFormat="1" ht="0.75" customHeight="1">
      <c r="A184" s="1267"/>
      <c r="B184" s="1267"/>
      <c r="C184" s="1267"/>
      <c r="D184" s="1267"/>
      <c r="E184" s="4034"/>
      <c r="F184" s="4034"/>
      <c r="G184" s="4033" t="s">
        <v>89</v>
      </c>
      <c r="H184" s="1267"/>
      <c r="I184" s="1267"/>
      <c r="J184" s="1267"/>
      <c r="K184" s="1267"/>
      <c r="L184" s="1469"/>
      <c r="M184" s="1239"/>
      <c r="N184" s="1239"/>
      <c r="O184" s="1566"/>
      <c r="P184" s="1240"/>
      <c r="Q184" s="1268"/>
      <c r="R184" s="1240"/>
      <c r="S184" s="1242"/>
      <c r="T184" s="1243" t="s">
        <v>235</v>
      </c>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566"/>
      <c r="AO184" s="1548"/>
      <c r="AP184" s="1548" t="str">
        <f t="shared" si="3"/>
        <v>Добавить источник для дифференциации</v>
      </c>
      <c r="AQ184" s="1548"/>
      <c r="AR184" s="1548"/>
      <c r="AS184" s="1566">
        <v>0</v>
      </c>
    </row>
    <row r="185" spans="1:45" s="1745" customFormat="1" ht="23.25" customHeight="1">
      <c r="A185" s="1287"/>
      <c r="B185" s="1287"/>
      <c r="C185" s="1287" t="s">
        <v>339</v>
      </c>
      <c r="D185" s="1287"/>
      <c r="E185" s="4034"/>
      <c r="F185" s="4034"/>
      <c r="G185" s="4033" t="s">
        <v>78</v>
      </c>
      <c r="H185" s="1287"/>
      <c r="I185" s="1287"/>
      <c r="J185" s="1287"/>
      <c r="K185" s="1287"/>
      <c r="L185" s="1293"/>
      <c r="M185" s="1289"/>
      <c r="N185" s="1289"/>
      <c r="O185" s="1289"/>
      <c r="P185" s="288"/>
      <c r="Q185" s="286"/>
      <c r="R185" s="287"/>
      <c r="S185" s="1972" t="str">
        <f>INDEX(PT_DIFFERENTIATION_NUM_CS,MATCH(C185,PT_DIFFERENTIATION_CS_ID,0))</f>
        <v>1.11.3</v>
      </c>
      <c r="T185" s="244" t="s">
        <v>607</v>
      </c>
      <c r="U185" s="235"/>
      <c r="V185" s="4027"/>
      <c r="W185" s="4028"/>
      <c r="X185" s="4028"/>
      <c r="Y185" s="4028"/>
      <c r="Z185" s="4028"/>
      <c r="AA185" s="4028"/>
      <c r="AB185" s="4028"/>
      <c r="AC185" s="4029"/>
      <c r="AD185" s="4027" t="str">
        <f>INDEX(PT_DIFFERENTIATION_CS,MATCH(C185,PT_DIFFERENTIATION_CS_ID,0))</f>
        <v>с. Издешково</v>
      </c>
      <c r="AE185" s="4028"/>
      <c r="AF185" s="4028"/>
      <c r="AG185" s="4028"/>
      <c r="AH185" s="4028"/>
      <c r="AI185" s="4028"/>
      <c r="AJ185" s="4028"/>
      <c r="AK185" s="4028"/>
      <c r="AL185" s="4029"/>
      <c r="AM185" s="1182" t="s">
        <v>608</v>
      </c>
      <c r="AN185" s="1566"/>
      <c r="AO185" s="1548"/>
      <c r="AP185" s="1548" t="str">
        <f t="shared" si="3"/>
        <v xml:space="preserve">Наименование системы теплоснабжения </v>
      </c>
      <c r="AQ185" s="1548"/>
      <c r="AR185" s="1548"/>
      <c r="AS185" s="1559">
        <v>0</v>
      </c>
    </row>
    <row r="186" spans="1:45" s="1745" customFormat="1" ht="21" customHeight="1">
      <c r="A186" s="1287"/>
      <c r="B186" s="1287"/>
      <c r="C186" s="1287"/>
      <c r="D186" s="1287" t="s">
        <v>340</v>
      </c>
      <c r="E186" s="4034"/>
      <c r="F186" s="4034"/>
      <c r="G186" s="4034" t="s">
        <v>77</v>
      </c>
      <c r="H186" s="4033">
        <v>1</v>
      </c>
      <c r="I186" s="1287"/>
      <c r="J186" s="1287"/>
      <c r="K186" s="1287"/>
      <c r="L186" s="1293"/>
      <c r="M186" s="1289"/>
      <c r="N186" s="1289"/>
      <c r="O186" s="1289"/>
      <c r="P186" s="288"/>
      <c r="Q186" s="286"/>
      <c r="R186" s="287"/>
      <c r="S186" s="1972" t="str">
        <f>INDEX(PT_DIFFERENTIATION_NUM_IST_TE,MATCH(D186,PT_DIFFERENTIATION_IST_TE_ID,0))</f>
        <v>1.11.3.1</v>
      </c>
      <c r="T186" s="245" t="s">
        <v>609</v>
      </c>
      <c r="U186" s="235"/>
      <c r="V186" s="4027"/>
      <c r="W186" s="4028"/>
      <c r="X186" s="4028"/>
      <c r="Y186" s="4028"/>
      <c r="Z186" s="4028"/>
      <c r="AA186" s="4028"/>
      <c r="AB186" s="4028"/>
      <c r="AC186" s="4029"/>
      <c r="AD186" s="4027" t="str">
        <f>INDEX(PT_DIFFERENTIATION_IST_TE,MATCH(D186,PT_DIFFERENTIATION_IST_TE_ID,0))</f>
        <v>без дифференциации</v>
      </c>
      <c r="AE186" s="4028"/>
      <c r="AF186" s="4028"/>
      <c r="AG186" s="4028"/>
      <c r="AH186" s="4028"/>
      <c r="AI186" s="4028"/>
      <c r="AJ186" s="4028"/>
      <c r="AK186" s="4028"/>
      <c r="AL186" s="4029"/>
      <c r="AM186" s="1182" t="s">
        <v>610</v>
      </c>
      <c r="AN186" s="1566"/>
      <c r="AO186" s="1548"/>
      <c r="AP186" s="1548" t="str">
        <f t="shared" si="3"/>
        <v xml:space="preserve">Источник тепловой энергии  </v>
      </c>
      <c r="AQ186" s="1548"/>
      <c r="AR186" s="1548"/>
      <c r="AS186" s="1559">
        <v>0</v>
      </c>
    </row>
    <row r="187" spans="1:45" s="1745" customFormat="1" ht="14.25" customHeight="1">
      <c r="A187" s="1287"/>
      <c r="B187" s="1287"/>
      <c r="C187" s="1287"/>
      <c r="D187" s="1287"/>
      <c r="E187" s="4034"/>
      <c r="F187" s="4034"/>
      <c r="G187" s="4034" t="s">
        <v>77</v>
      </c>
      <c r="H187" s="4034"/>
      <c r="I187" s="4035" t="str">
        <f>S186&amp;".1"</f>
        <v>1.11.3.1.1</v>
      </c>
      <c r="J187" s="1287"/>
      <c r="K187" s="1287"/>
      <c r="L187" s="1293" t="s">
        <v>611</v>
      </c>
      <c r="M187" s="1290"/>
      <c r="N187" s="1672"/>
      <c r="O187" s="1672"/>
      <c r="P187" s="4037">
        <v>1</v>
      </c>
      <c r="Q187" s="1974"/>
      <c r="R187" s="290"/>
      <c r="S187" s="1973"/>
      <c r="T187" s="1307"/>
      <c r="U187" s="1308"/>
      <c r="V187" s="4064"/>
      <c r="W187" s="4065"/>
      <c r="X187" s="4065"/>
      <c r="Y187" s="4065"/>
      <c r="Z187" s="4065"/>
      <c r="AA187" s="4065"/>
      <c r="AB187" s="4065"/>
      <c r="AC187" s="4066"/>
      <c r="AD187" s="4064"/>
      <c r="AE187" s="4065"/>
      <c r="AF187" s="4065"/>
      <c r="AG187" s="4065"/>
      <c r="AH187" s="4065"/>
      <c r="AI187" s="4065"/>
      <c r="AJ187" s="4065"/>
      <c r="AK187" s="4065"/>
      <c r="AL187" s="4066"/>
      <c r="AM187" s="1309"/>
      <c r="AN187" s="1566"/>
      <c r="AO187" s="1548"/>
      <c r="AP187" s="1548" t="str">
        <f t="shared" si="3"/>
        <v/>
      </c>
      <c r="AQ187" s="1548"/>
      <c r="AR187" s="1548"/>
      <c r="AS187" s="1559">
        <v>0</v>
      </c>
    </row>
    <row r="188" spans="1:45" s="1745" customFormat="1" ht="21" customHeight="1">
      <c r="A188" s="1287"/>
      <c r="B188" s="1287"/>
      <c r="C188" s="1287"/>
      <c r="D188" s="1287"/>
      <c r="E188" s="4034"/>
      <c r="F188" s="4034"/>
      <c r="G188" s="4034" t="s">
        <v>77</v>
      </c>
      <c r="H188" s="4034"/>
      <c r="I188" s="4036"/>
      <c r="J188" s="4035" t="str">
        <f>I187&amp;".1"</f>
        <v>1.11.3.1.1.1</v>
      </c>
      <c r="K188" s="1287"/>
      <c r="L188" s="1293" t="s">
        <v>614</v>
      </c>
      <c r="M188" s="1290"/>
      <c r="N188" s="1290"/>
      <c r="O188" s="1672"/>
      <c r="P188" s="4037"/>
      <c r="Q188" s="4037">
        <v>1</v>
      </c>
      <c r="R188" s="291"/>
      <c r="S188" s="1972" t="str">
        <f>$J188</f>
        <v>1.11.3.1.1.1</v>
      </c>
      <c r="T188" s="221" t="s">
        <v>615</v>
      </c>
      <c r="U188" s="235"/>
      <c r="V188" s="4021"/>
      <c r="W188" s="4022"/>
      <c r="X188" s="4022"/>
      <c r="Y188" s="4022"/>
      <c r="Z188" s="4022"/>
      <c r="AA188" s="4022"/>
      <c r="AB188" s="4022"/>
      <c r="AC188" s="4023"/>
      <c r="AD188" s="4021" t="s">
        <v>654</v>
      </c>
      <c r="AE188" s="4022"/>
      <c r="AF188" s="4022"/>
      <c r="AG188" s="4022"/>
      <c r="AH188" s="4022"/>
      <c r="AI188" s="4022"/>
      <c r="AJ188" s="4022"/>
      <c r="AK188" s="4022"/>
      <c r="AL188" s="4023"/>
      <c r="AM188" s="1182" t="s">
        <v>616</v>
      </c>
      <c r="AN188" s="1566"/>
      <c r="AO188" s="1548"/>
      <c r="AP188" s="1548" t="str">
        <f t="shared" si="3"/>
        <v>Группа потребителей</v>
      </c>
      <c r="AQ188" s="1548"/>
      <c r="AR188" s="1548"/>
      <c r="AS188" s="1559">
        <v>0</v>
      </c>
    </row>
    <row r="189" spans="1:45" s="1745" customFormat="1" ht="21" customHeight="1">
      <c r="A189" s="1287"/>
      <c r="B189" s="1287"/>
      <c r="C189" s="1287"/>
      <c r="D189" s="1287"/>
      <c r="E189" s="4034"/>
      <c r="F189" s="4034"/>
      <c r="G189" s="4034" t="s">
        <v>77</v>
      </c>
      <c r="H189" s="4034"/>
      <c r="I189" s="4036"/>
      <c r="J189" s="4036"/>
      <c r="K189" s="4035" t="str">
        <f>J188&amp;".1"</f>
        <v>1.11.3.1.1.1.1</v>
      </c>
      <c r="L189" s="1293" t="s">
        <v>617</v>
      </c>
      <c r="M189" s="1290"/>
      <c r="N189" s="1290"/>
      <c r="O189" s="1290"/>
      <c r="P189" s="4037"/>
      <c r="Q189" s="4037"/>
      <c r="R189" s="291">
        <v>1</v>
      </c>
      <c r="S189" s="1972" t="str">
        <f>$K189</f>
        <v>1.11.3.1.1.1.1</v>
      </c>
      <c r="T189" s="1271" t="s">
        <v>656</v>
      </c>
      <c r="U189" s="235"/>
      <c r="V189" s="685"/>
      <c r="W189" s="260"/>
      <c r="X189" s="685"/>
      <c r="Y189" s="1181"/>
      <c r="Z189" s="4038"/>
      <c r="AA189" s="3899" t="s">
        <v>53</v>
      </c>
      <c r="AB189" s="4038"/>
      <c r="AC189" s="3899" t="s">
        <v>53</v>
      </c>
      <c r="AD189" s="685">
        <v>451.2</v>
      </c>
      <c r="AE189" s="260"/>
      <c r="AF189" s="685"/>
      <c r="AG189" s="1181"/>
      <c r="AH189" s="4038">
        <v>46023.444467592592</v>
      </c>
      <c r="AI189" s="3899" t="s">
        <v>53</v>
      </c>
      <c r="AJ189" s="4038">
        <v>46387.444560185184</v>
      </c>
      <c r="AK189" s="3899" t="s">
        <v>53</v>
      </c>
      <c r="AL189" s="260"/>
      <c r="AM189" s="4056" t="s">
        <v>618</v>
      </c>
      <c r="AN189" s="1566" t="e">
        <f ca="1">STRCHECKDATE(V190:AL190)</f>
        <v>#NAME?</v>
      </c>
      <c r="AO189" s="1548"/>
      <c r="AP189" s="1548" t="str">
        <f t="shared" si="3"/>
        <v>вода</v>
      </c>
      <c r="AQ189" s="1548"/>
      <c r="AR189" s="1548"/>
      <c r="AS189" s="1559">
        <v>0</v>
      </c>
    </row>
    <row r="190" spans="1:45" s="1745" customFormat="1" ht="0.75" customHeight="1">
      <c r="A190" s="1287"/>
      <c r="B190" s="1287"/>
      <c r="C190" s="1287"/>
      <c r="D190" s="1287"/>
      <c r="E190" s="4034"/>
      <c r="F190" s="4034"/>
      <c r="G190" s="4034" t="s">
        <v>77</v>
      </c>
      <c r="H190" s="4034"/>
      <c r="I190" s="4036"/>
      <c r="J190" s="4036"/>
      <c r="K190" s="4035"/>
      <c r="L190" s="1293"/>
      <c r="M190" s="1290"/>
      <c r="N190" s="1290"/>
      <c r="O190" s="1290"/>
      <c r="P190" s="4037"/>
      <c r="Q190" s="4037"/>
      <c r="R190" s="291"/>
      <c r="S190" s="1978"/>
      <c r="T190" s="235"/>
      <c r="U190" s="235"/>
      <c r="V190" s="260"/>
      <c r="W190" s="260"/>
      <c r="X190" s="260"/>
      <c r="Y190" s="263" t="str">
        <f>Z189&amp;"-"&amp;AB189</f>
        <v>-</v>
      </c>
      <c r="Z190" s="4039"/>
      <c r="AA190" s="3899"/>
      <c r="AB190" s="4039"/>
      <c r="AC190" s="3899"/>
      <c r="AD190" s="260"/>
      <c r="AE190" s="260"/>
      <c r="AF190" s="260"/>
      <c r="AG190" s="263" t="str">
        <f>AH189&amp;"-"&amp;AJ189</f>
        <v>46023,4444675926-46387,4445601852</v>
      </c>
      <c r="AH190" s="4039"/>
      <c r="AI190" s="3899"/>
      <c r="AJ190" s="4039"/>
      <c r="AK190" s="3899"/>
      <c r="AL190" s="260"/>
      <c r="AM190" s="4057"/>
      <c r="AN190" s="1566"/>
      <c r="AO190" s="1548"/>
      <c r="AP190" s="1548" t="str">
        <f t="shared" si="3"/>
        <v/>
      </c>
      <c r="AQ190" s="1548"/>
      <c r="AR190" s="1548"/>
      <c r="AS190" s="1559">
        <v>0</v>
      </c>
    </row>
    <row r="191" spans="1:45" s="1745" customFormat="1" ht="15" customHeight="1">
      <c r="A191" s="1287"/>
      <c r="B191" s="1287"/>
      <c r="C191" s="1287"/>
      <c r="D191" s="1287"/>
      <c r="E191" s="4034"/>
      <c r="F191" s="4034"/>
      <c r="G191" s="4034" t="s">
        <v>77</v>
      </c>
      <c r="H191" s="4034"/>
      <c r="I191" s="4036"/>
      <c r="J191" s="4035"/>
      <c r="K191" s="1287"/>
      <c r="L191" s="1293"/>
      <c r="M191" s="1290"/>
      <c r="N191" s="1290"/>
      <c r="O191" s="1672"/>
      <c r="P191" s="4037"/>
      <c r="Q191" s="4037"/>
      <c r="R191" s="290"/>
      <c r="S191" s="3578"/>
      <c r="T191" s="3579" t="s">
        <v>619</v>
      </c>
      <c r="U191" s="3580"/>
      <c r="V191" s="3581"/>
      <c r="W191" s="3582"/>
      <c r="X191" s="3583"/>
      <c r="Y191" s="3584"/>
      <c r="Z191" s="3585"/>
      <c r="AA191" s="3586"/>
      <c r="AB191" s="3587"/>
      <c r="AC191" s="3588"/>
      <c r="AD191" s="3589"/>
      <c r="AE191" s="3590"/>
      <c r="AF191" s="3591"/>
      <c r="AG191" s="3592"/>
      <c r="AH191" s="3593"/>
      <c r="AI191" s="3594"/>
      <c r="AJ191" s="3595"/>
      <c r="AK191" s="3596"/>
      <c r="AL191" s="3597"/>
      <c r="AM191" s="4058"/>
      <c r="AN191" s="1566"/>
      <c r="AO191" s="1548"/>
      <c r="AP191" s="1548" t="str">
        <f t="shared" si="3"/>
        <v>Добавить вид теплоносителя (параметры теплоносителя)</v>
      </c>
      <c r="AQ191" s="1548"/>
      <c r="AR191" s="1548"/>
      <c r="AS191" s="1559">
        <v>0</v>
      </c>
    </row>
    <row r="192" spans="1:45" s="1745" customFormat="1" ht="15" customHeight="1">
      <c r="A192" s="1287"/>
      <c r="B192" s="1287"/>
      <c r="C192" s="1287"/>
      <c r="D192" s="1287"/>
      <c r="E192" s="4034"/>
      <c r="F192" s="4034"/>
      <c r="G192" s="4034" t="s">
        <v>77</v>
      </c>
      <c r="H192" s="4034"/>
      <c r="I192" s="4035"/>
      <c r="J192" s="1287"/>
      <c r="K192" s="1287"/>
      <c r="L192" s="1293"/>
      <c r="M192" s="1290"/>
      <c r="N192" s="1672"/>
      <c r="O192" s="1672"/>
      <c r="P192" s="4037"/>
      <c r="Q192" s="1974"/>
      <c r="R192" s="290"/>
      <c r="S192" s="3598"/>
      <c r="T192" s="3599" t="s">
        <v>620</v>
      </c>
      <c r="U192" s="3600"/>
      <c r="V192" s="3601"/>
      <c r="W192" s="3602"/>
      <c r="X192" s="3603"/>
      <c r="Y192" s="3604"/>
      <c r="Z192" s="3605"/>
      <c r="AA192" s="3606"/>
      <c r="AB192" s="3607"/>
      <c r="AC192" s="3608"/>
      <c r="AD192" s="3609"/>
      <c r="AE192" s="3610"/>
      <c r="AF192" s="3611"/>
      <c r="AG192" s="3612"/>
      <c r="AH192" s="3613"/>
      <c r="AI192" s="3614"/>
      <c r="AJ192" s="3615"/>
      <c r="AK192" s="3616"/>
      <c r="AL192" s="3617"/>
      <c r="AM192" s="3618"/>
      <c r="AN192" s="1566"/>
      <c r="AO192" s="1548"/>
      <c r="AP192" s="1548" t="str">
        <f t="shared" si="3"/>
        <v>Добавить группу потребителей</v>
      </c>
      <c r="AQ192" s="1548"/>
      <c r="AR192" s="1548"/>
      <c r="AS192" s="1559">
        <v>0</v>
      </c>
    </row>
    <row r="193" spans="1:45" s="1745" customFormat="1" ht="14.25" customHeight="1">
      <c r="A193" s="1287"/>
      <c r="B193" s="1287"/>
      <c r="C193" s="1287"/>
      <c r="D193" s="1287"/>
      <c r="E193" s="4034"/>
      <c r="F193" s="4034"/>
      <c r="G193" s="4034" t="s">
        <v>77</v>
      </c>
      <c r="H193" s="4033"/>
      <c r="I193" s="1287"/>
      <c r="J193" s="1287"/>
      <c r="K193" s="1287"/>
      <c r="L193" s="1293"/>
      <c r="M193" s="1289"/>
      <c r="N193" s="1289"/>
      <c r="O193" s="1290"/>
      <c r="P193" s="1718"/>
      <c r="Q193" s="309"/>
      <c r="R193" s="289"/>
      <c r="S193" s="1310"/>
      <c r="T193" s="1311"/>
      <c r="U193" s="1312"/>
      <c r="V193" s="1312"/>
      <c r="W193" s="1312"/>
      <c r="X193" s="1312"/>
      <c r="Y193" s="1312"/>
      <c r="Z193" s="1312"/>
      <c r="AA193" s="1312"/>
      <c r="AB193" s="1312"/>
      <c r="AC193" s="1312"/>
      <c r="AD193" s="1312"/>
      <c r="AE193" s="1312"/>
      <c r="AF193" s="1312"/>
      <c r="AG193" s="1312"/>
      <c r="AH193" s="1312"/>
      <c r="AI193" s="1312"/>
      <c r="AJ193" s="1312"/>
      <c r="AK193" s="1312"/>
      <c r="AL193" s="1312"/>
      <c r="AM193" s="1313"/>
      <c r="AN193" s="1566"/>
      <c r="AO193" s="1548"/>
      <c r="AP193" s="1548" t="str">
        <f t="shared" si="3"/>
        <v/>
      </c>
      <c r="AQ193" s="1548"/>
      <c r="AR193" s="1548"/>
      <c r="AS193" s="1559">
        <v>0</v>
      </c>
    </row>
    <row r="194" spans="1:45" s="556" customFormat="1" ht="0.75" customHeight="1">
      <c r="A194" s="1267"/>
      <c r="B194" s="1267"/>
      <c r="C194" s="1267"/>
      <c r="D194" s="1267"/>
      <c r="E194" s="4034"/>
      <c r="F194" s="4034"/>
      <c r="G194" s="4033" t="s">
        <v>77</v>
      </c>
      <c r="H194" s="1267"/>
      <c r="I194" s="1267"/>
      <c r="J194" s="1267"/>
      <c r="K194" s="1267"/>
      <c r="L194" s="1469"/>
      <c r="M194" s="1239"/>
      <c r="N194" s="1239"/>
      <c r="O194" s="1566"/>
      <c r="P194" s="1240"/>
      <c r="Q194" s="1268"/>
      <c r="R194" s="1240"/>
      <c r="S194" s="1242"/>
      <c r="T194" s="1243" t="s">
        <v>235</v>
      </c>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566"/>
      <c r="AO194" s="1548"/>
      <c r="AP194" s="1548" t="str">
        <f t="shared" si="3"/>
        <v>Добавить источник для дифференциации</v>
      </c>
      <c r="AQ194" s="1548"/>
      <c r="AR194" s="1548"/>
      <c r="AS194" s="1566">
        <v>0</v>
      </c>
    </row>
    <row r="195" spans="1:45" s="556" customFormat="1" ht="0.75" customHeight="1">
      <c r="A195" s="1267"/>
      <c r="B195" s="1267"/>
      <c r="C195" s="1267"/>
      <c r="D195" s="1267"/>
      <c r="E195" s="4034"/>
      <c r="F195" s="4033" t="s">
        <v>141</v>
      </c>
      <c r="G195" s="1267"/>
      <c r="H195" s="1267"/>
      <c r="I195" s="1267"/>
      <c r="J195" s="1267"/>
      <c r="K195" s="1267"/>
      <c r="L195" s="1469"/>
      <c r="M195" s="1245"/>
      <c r="N195" s="1245"/>
      <c r="O195" s="1566"/>
      <c r="P195" s="1240"/>
      <c r="Q195" s="1268"/>
      <c r="R195" s="1240"/>
      <c r="S195" s="1246"/>
      <c r="T195" s="1247" t="s">
        <v>236</v>
      </c>
      <c r="U195" s="1248"/>
      <c r="V195" s="1248"/>
      <c r="W195" s="1248"/>
      <c r="X195" s="1248"/>
      <c r="Y195" s="1248"/>
      <c r="Z195" s="1248"/>
      <c r="AA195" s="1248"/>
      <c r="AB195" s="1248"/>
      <c r="AC195" s="1248"/>
      <c r="AD195" s="1248"/>
      <c r="AE195" s="1248"/>
      <c r="AF195" s="1248"/>
      <c r="AG195" s="1248"/>
      <c r="AH195" s="1248"/>
      <c r="AI195" s="1248"/>
      <c r="AJ195" s="1248"/>
      <c r="AK195" s="1248"/>
      <c r="AL195" s="1248"/>
      <c r="AM195" s="1248"/>
      <c r="AN195" s="1566"/>
      <c r="AO195" s="1548"/>
      <c r="AP195" s="1548" t="str">
        <f t="shared" si="3"/>
        <v>Добавить централизованную систему для дифференциации</v>
      </c>
      <c r="AQ195" s="1548"/>
      <c r="AR195" s="1548"/>
      <c r="AS195" s="1566">
        <v>0</v>
      </c>
    </row>
    <row r="196" spans="1:45" s="1745" customFormat="1" ht="21" customHeight="1">
      <c r="A196" s="1287"/>
      <c r="B196" s="1287" t="s">
        <v>342</v>
      </c>
      <c r="C196" s="1287"/>
      <c r="D196" s="1287"/>
      <c r="E196" s="4034"/>
      <c r="F196" s="4033" t="s">
        <v>151</v>
      </c>
      <c r="G196" s="1287"/>
      <c r="H196" s="1287"/>
      <c r="I196" s="1287"/>
      <c r="J196" s="1287"/>
      <c r="K196" s="1287"/>
      <c r="L196" s="1293"/>
      <c r="M196" s="1289"/>
      <c r="N196" s="1289"/>
      <c r="O196" s="1289"/>
      <c r="P196" s="1970"/>
      <c r="Q196" s="286"/>
      <c r="R196" s="287"/>
      <c r="S196" s="1972" t="str">
        <f>INDEX(PT_DIFFERENTIATION_NUM_TER,MATCH(B196,PT_DIFFERENTIATION_TER_ID,0))</f>
        <v>1.12</v>
      </c>
      <c r="T196" s="1446" t="s">
        <v>605</v>
      </c>
      <c r="U196" s="235"/>
      <c r="V196" s="4027"/>
      <c r="W196" s="4028"/>
      <c r="X196" s="4028"/>
      <c r="Y196" s="4028"/>
      <c r="Z196" s="4028"/>
      <c r="AA196" s="4028"/>
      <c r="AB196" s="4028"/>
      <c r="AC196" s="4029"/>
      <c r="AD196" s="4027" t="str">
        <f>INDEX(PT_DIFFERENTIATION_TER,MATCH(B196,PT_DIFFERENTIATION_TER_ID,0))</f>
        <v>Территория 21</v>
      </c>
      <c r="AE196" s="4028"/>
      <c r="AF196" s="4028"/>
      <c r="AG196" s="4028"/>
      <c r="AH196" s="4028"/>
      <c r="AI196" s="4028"/>
      <c r="AJ196" s="4028"/>
      <c r="AK196" s="4028"/>
      <c r="AL196" s="4029"/>
      <c r="AM196" s="1182" t="s">
        <v>606</v>
      </c>
      <c r="AN196" s="1566"/>
      <c r="AO196" s="1548"/>
      <c r="AP196" s="1548" t="str">
        <f t="shared" si="3"/>
        <v>Территория действия тарифа</v>
      </c>
      <c r="AQ196" s="1548"/>
      <c r="AR196" s="1548"/>
      <c r="AS196" s="1559">
        <v>0</v>
      </c>
    </row>
    <row r="197" spans="1:45" s="1745" customFormat="1" ht="23.25" customHeight="1">
      <c r="A197" s="1287"/>
      <c r="B197" s="1287"/>
      <c r="C197" s="1287" t="s">
        <v>343</v>
      </c>
      <c r="D197" s="1287"/>
      <c r="E197" s="4034"/>
      <c r="F197" s="4034" t="s">
        <v>146</v>
      </c>
      <c r="G197" s="4033">
        <v>1</v>
      </c>
      <c r="H197" s="1287"/>
      <c r="I197" s="1287"/>
      <c r="J197" s="1287"/>
      <c r="K197" s="1287"/>
      <c r="L197" s="1293"/>
      <c r="M197" s="1289"/>
      <c r="N197" s="1289"/>
      <c r="O197" s="1289"/>
      <c r="P197" s="288"/>
      <c r="Q197" s="286"/>
      <c r="R197" s="287"/>
      <c r="S197" s="1972" t="str">
        <f>INDEX(PT_DIFFERENTIATION_NUM_CS,MATCH(C197,PT_DIFFERENTIATION_CS_ID,0))</f>
        <v>1.12.1</v>
      </c>
      <c r="T197" s="244" t="s">
        <v>607</v>
      </c>
      <c r="U197" s="235"/>
      <c r="V197" s="4027"/>
      <c r="W197" s="4028"/>
      <c r="X197" s="4028"/>
      <c r="Y197" s="4028"/>
      <c r="Z197" s="4028"/>
      <c r="AA197" s="4028"/>
      <c r="AB197" s="4028"/>
      <c r="AC197" s="4029"/>
      <c r="AD197" s="4027" t="str">
        <f>INDEX(PT_DIFFERENTIATION_CS,MATCH(C197,PT_DIFFERENTIATION_CS_ID,0))</f>
        <v>Ельнинский ТУ</v>
      </c>
      <c r="AE197" s="4028"/>
      <c r="AF197" s="4028"/>
      <c r="AG197" s="4028"/>
      <c r="AH197" s="4028"/>
      <c r="AI197" s="4028"/>
      <c r="AJ197" s="4028"/>
      <c r="AK197" s="4028"/>
      <c r="AL197" s="4029"/>
      <c r="AM197" s="1182" t="s">
        <v>608</v>
      </c>
      <c r="AN197" s="1566"/>
      <c r="AO197" s="1548"/>
      <c r="AP197" s="1548" t="str">
        <f t="shared" si="3"/>
        <v xml:space="preserve">Наименование системы теплоснабжения </v>
      </c>
      <c r="AQ197" s="1548"/>
      <c r="AR197" s="1548"/>
      <c r="AS197" s="1559">
        <v>0</v>
      </c>
    </row>
    <row r="198" spans="1:45" s="1745" customFormat="1" ht="21" customHeight="1">
      <c r="A198" s="1287"/>
      <c r="B198" s="1287"/>
      <c r="C198" s="1287"/>
      <c r="D198" s="1287" t="s">
        <v>344</v>
      </c>
      <c r="E198" s="4034"/>
      <c r="F198" s="4034" t="s">
        <v>146</v>
      </c>
      <c r="G198" s="4034"/>
      <c r="H198" s="4033">
        <v>1</v>
      </c>
      <c r="I198" s="1287"/>
      <c r="J198" s="1287"/>
      <c r="K198" s="1287"/>
      <c r="L198" s="1293"/>
      <c r="M198" s="1289"/>
      <c r="N198" s="1289"/>
      <c r="O198" s="1289"/>
      <c r="P198" s="288"/>
      <c r="Q198" s="286"/>
      <c r="R198" s="287"/>
      <c r="S198" s="1972" t="str">
        <f>INDEX(PT_DIFFERENTIATION_NUM_IST_TE,MATCH(D198,PT_DIFFERENTIATION_IST_TE_ID,0))</f>
        <v>1.12.1.1</v>
      </c>
      <c r="T198" s="245" t="s">
        <v>609</v>
      </c>
      <c r="U198" s="235"/>
      <c r="V198" s="4027"/>
      <c r="W198" s="4028"/>
      <c r="X198" s="4028"/>
      <c r="Y198" s="4028"/>
      <c r="Z198" s="4028"/>
      <c r="AA198" s="4028"/>
      <c r="AB198" s="4028"/>
      <c r="AC198" s="4029"/>
      <c r="AD198" s="4027" t="str">
        <f>INDEX(PT_DIFFERENTIATION_IST_TE,MATCH(D198,PT_DIFFERENTIATION_IST_TE_ID,0))</f>
        <v>без дифференциации</v>
      </c>
      <c r="AE198" s="4028"/>
      <c r="AF198" s="4028"/>
      <c r="AG198" s="4028"/>
      <c r="AH198" s="4028"/>
      <c r="AI198" s="4028"/>
      <c r="AJ198" s="4028"/>
      <c r="AK198" s="4028"/>
      <c r="AL198" s="4029"/>
      <c r="AM198" s="1182" t="s">
        <v>610</v>
      </c>
      <c r="AN198" s="1566"/>
      <c r="AO198" s="1548"/>
      <c r="AP198" s="1548" t="str">
        <f t="shared" si="3"/>
        <v xml:space="preserve">Источник тепловой энергии  </v>
      </c>
      <c r="AQ198" s="1548"/>
      <c r="AR198" s="1548"/>
      <c r="AS198" s="1559">
        <v>0</v>
      </c>
    </row>
    <row r="199" spans="1:45" s="1745" customFormat="1" ht="14.25" customHeight="1">
      <c r="A199" s="1287"/>
      <c r="B199" s="1287"/>
      <c r="C199" s="1287"/>
      <c r="D199" s="1287"/>
      <c r="E199" s="4034"/>
      <c r="F199" s="4034" t="s">
        <v>146</v>
      </c>
      <c r="G199" s="4034"/>
      <c r="H199" s="4034"/>
      <c r="I199" s="4035" t="str">
        <f>S198&amp;".1"</f>
        <v>1.12.1.1.1</v>
      </c>
      <c r="J199" s="1287"/>
      <c r="K199" s="1287"/>
      <c r="L199" s="1293" t="s">
        <v>611</v>
      </c>
      <c r="M199" s="1290"/>
      <c r="N199" s="1672"/>
      <c r="O199" s="1672"/>
      <c r="P199" s="4037">
        <v>1</v>
      </c>
      <c r="Q199" s="1974"/>
      <c r="R199" s="290"/>
      <c r="S199" s="1973"/>
      <c r="T199" s="1307"/>
      <c r="U199" s="1308"/>
      <c r="V199" s="4064"/>
      <c r="W199" s="4065"/>
      <c r="X199" s="4065"/>
      <c r="Y199" s="4065"/>
      <c r="Z199" s="4065"/>
      <c r="AA199" s="4065"/>
      <c r="AB199" s="4065"/>
      <c r="AC199" s="4066"/>
      <c r="AD199" s="4064"/>
      <c r="AE199" s="4065"/>
      <c r="AF199" s="4065"/>
      <c r="AG199" s="4065"/>
      <c r="AH199" s="4065"/>
      <c r="AI199" s="4065"/>
      <c r="AJ199" s="4065"/>
      <c r="AK199" s="4065"/>
      <c r="AL199" s="4066"/>
      <c r="AM199" s="1309"/>
      <c r="AN199" s="1566"/>
      <c r="AO199" s="1548"/>
      <c r="AP199" s="1548" t="str">
        <f t="shared" si="3"/>
        <v/>
      </c>
      <c r="AQ199" s="1548"/>
      <c r="AR199" s="1548"/>
      <c r="AS199" s="1559">
        <v>0</v>
      </c>
    </row>
    <row r="200" spans="1:45" s="1745" customFormat="1" ht="21" customHeight="1">
      <c r="A200" s="1287"/>
      <c r="B200" s="1287"/>
      <c r="C200" s="1287"/>
      <c r="D200" s="1287"/>
      <c r="E200" s="4034"/>
      <c r="F200" s="4034" t="s">
        <v>146</v>
      </c>
      <c r="G200" s="4034"/>
      <c r="H200" s="4034"/>
      <c r="I200" s="4036"/>
      <c r="J200" s="4035" t="str">
        <f>I199&amp;".1"</f>
        <v>1.12.1.1.1.1</v>
      </c>
      <c r="K200" s="1287"/>
      <c r="L200" s="1293" t="s">
        <v>614</v>
      </c>
      <c r="M200" s="1290"/>
      <c r="N200" s="1290"/>
      <c r="O200" s="1672"/>
      <c r="P200" s="4037"/>
      <c r="Q200" s="4037">
        <v>1</v>
      </c>
      <c r="R200" s="291"/>
      <c r="S200" s="1972" t="str">
        <f>$J200</f>
        <v>1.12.1.1.1.1</v>
      </c>
      <c r="T200" s="221" t="s">
        <v>615</v>
      </c>
      <c r="U200" s="235"/>
      <c r="V200" s="4021"/>
      <c r="W200" s="4022"/>
      <c r="X200" s="4022"/>
      <c r="Y200" s="4022"/>
      <c r="Z200" s="4022"/>
      <c r="AA200" s="4022"/>
      <c r="AB200" s="4022"/>
      <c r="AC200" s="4023"/>
      <c r="AD200" s="4021" t="s">
        <v>654</v>
      </c>
      <c r="AE200" s="4022"/>
      <c r="AF200" s="4022"/>
      <c r="AG200" s="4022"/>
      <c r="AH200" s="4022"/>
      <c r="AI200" s="4022"/>
      <c r="AJ200" s="4022"/>
      <c r="AK200" s="4022"/>
      <c r="AL200" s="4023"/>
      <c r="AM200" s="1182" t="s">
        <v>616</v>
      </c>
      <c r="AN200" s="1566"/>
      <c r="AO200" s="1548"/>
      <c r="AP200" s="1548" t="str">
        <f t="shared" si="3"/>
        <v>Группа потребителей</v>
      </c>
      <c r="AQ200" s="1548"/>
      <c r="AR200" s="1548"/>
      <c r="AS200" s="1559">
        <v>0</v>
      </c>
    </row>
    <row r="201" spans="1:45" s="1745" customFormat="1" ht="21" customHeight="1">
      <c r="A201" s="1287"/>
      <c r="B201" s="1287"/>
      <c r="C201" s="1287"/>
      <c r="D201" s="1287"/>
      <c r="E201" s="4034"/>
      <c r="F201" s="4034" t="s">
        <v>146</v>
      </c>
      <c r="G201" s="4034"/>
      <c r="H201" s="4034"/>
      <c r="I201" s="4036"/>
      <c r="J201" s="4036"/>
      <c r="K201" s="4035" t="str">
        <f>J200&amp;".1"</f>
        <v>1.12.1.1.1.1.1</v>
      </c>
      <c r="L201" s="1293" t="s">
        <v>617</v>
      </c>
      <c r="M201" s="1290"/>
      <c r="N201" s="1290"/>
      <c r="O201" s="1290"/>
      <c r="P201" s="4037"/>
      <c r="Q201" s="4037"/>
      <c r="R201" s="291">
        <v>1</v>
      </c>
      <c r="S201" s="1972" t="str">
        <f>$K201</f>
        <v>1.12.1.1.1.1.1</v>
      </c>
      <c r="T201" s="1271" t="s">
        <v>656</v>
      </c>
      <c r="U201" s="235"/>
      <c r="V201" s="685"/>
      <c r="W201" s="260"/>
      <c r="X201" s="685"/>
      <c r="Y201" s="1181"/>
      <c r="Z201" s="4038"/>
      <c r="AA201" s="3899" t="s">
        <v>53</v>
      </c>
      <c r="AB201" s="4038"/>
      <c r="AC201" s="3899" t="s">
        <v>53</v>
      </c>
      <c r="AD201" s="685">
        <v>591.16</v>
      </c>
      <c r="AE201" s="260"/>
      <c r="AF201" s="685"/>
      <c r="AG201" s="1181"/>
      <c r="AH201" s="4038">
        <v>46023.372152777774</v>
      </c>
      <c r="AI201" s="3899" t="s">
        <v>53</v>
      </c>
      <c r="AJ201" s="4038">
        <v>46387.372337962966</v>
      </c>
      <c r="AK201" s="3899" t="s">
        <v>53</v>
      </c>
      <c r="AL201" s="260"/>
      <c r="AM201" s="4056" t="s">
        <v>618</v>
      </c>
      <c r="AN201" s="1566" t="e">
        <f ca="1">STRCHECKDATE(V202:AL202)</f>
        <v>#NAME?</v>
      </c>
      <c r="AO201" s="1548"/>
      <c r="AP201" s="1548" t="str">
        <f t="shared" si="3"/>
        <v>вода</v>
      </c>
      <c r="AQ201" s="1548"/>
      <c r="AR201" s="1548"/>
      <c r="AS201" s="1559">
        <v>0</v>
      </c>
    </row>
    <row r="202" spans="1:45" s="1745" customFormat="1" ht="0.75" customHeight="1">
      <c r="A202" s="1287"/>
      <c r="B202" s="1287"/>
      <c r="C202" s="1287"/>
      <c r="D202" s="1287"/>
      <c r="E202" s="4034"/>
      <c r="F202" s="4034" t="s">
        <v>146</v>
      </c>
      <c r="G202" s="4034"/>
      <c r="H202" s="4034"/>
      <c r="I202" s="4036"/>
      <c r="J202" s="4036"/>
      <c r="K202" s="4035"/>
      <c r="L202" s="1293"/>
      <c r="M202" s="1290"/>
      <c r="N202" s="1290"/>
      <c r="O202" s="1290"/>
      <c r="P202" s="4037"/>
      <c r="Q202" s="4037"/>
      <c r="R202" s="291"/>
      <c r="S202" s="1978"/>
      <c r="T202" s="235"/>
      <c r="U202" s="235"/>
      <c r="V202" s="260"/>
      <c r="W202" s="260"/>
      <c r="X202" s="260"/>
      <c r="Y202" s="263" t="str">
        <f>Z201&amp;"-"&amp;AB201</f>
        <v>-</v>
      </c>
      <c r="Z202" s="4039"/>
      <c r="AA202" s="3899"/>
      <c r="AB202" s="4039"/>
      <c r="AC202" s="3899"/>
      <c r="AD202" s="260"/>
      <c r="AE202" s="260"/>
      <c r="AF202" s="260"/>
      <c r="AG202" s="263" t="str">
        <f>AH201&amp;"-"&amp;AJ201</f>
        <v>46023,3721527778-46387,3723379629</v>
      </c>
      <c r="AH202" s="4039"/>
      <c r="AI202" s="3899"/>
      <c r="AJ202" s="4039"/>
      <c r="AK202" s="3899"/>
      <c r="AL202" s="260"/>
      <c r="AM202" s="4057"/>
      <c r="AN202" s="1566"/>
      <c r="AO202" s="1548"/>
      <c r="AP202" s="1548" t="str">
        <f t="shared" si="3"/>
        <v/>
      </c>
      <c r="AQ202" s="1548"/>
      <c r="AR202" s="1548"/>
      <c r="AS202" s="1559">
        <v>0</v>
      </c>
    </row>
    <row r="203" spans="1:45" s="1745" customFormat="1" ht="15" customHeight="1">
      <c r="A203" s="1287"/>
      <c r="B203" s="1287"/>
      <c r="C203" s="1287"/>
      <c r="D203" s="1287"/>
      <c r="E203" s="4034"/>
      <c r="F203" s="4034" t="s">
        <v>146</v>
      </c>
      <c r="G203" s="4034"/>
      <c r="H203" s="4034"/>
      <c r="I203" s="4036"/>
      <c r="J203" s="4035"/>
      <c r="K203" s="1287"/>
      <c r="L203" s="1293"/>
      <c r="M203" s="1290"/>
      <c r="N203" s="1290"/>
      <c r="O203" s="1672"/>
      <c r="P203" s="4037"/>
      <c r="Q203" s="4037"/>
      <c r="R203" s="290"/>
      <c r="S203" s="3331"/>
      <c r="T203" s="3332" t="s">
        <v>619</v>
      </c>
      <c r="U203" s="3333"/>
      <c r="V203" s="3334"/>
      <c r="W203" s="3335"/>
      <c r="X203" s="3336"/>
      <c r="Y203" s="3337"/>
      <c r="Z203" s="3338"/>
      <c r="AA203" s="3339"/>
      <c r="AB203" s="3340"/>
      <c r="AC203" s="3341"/>
      <c r="AD203" s="3342"/>
      <c r="AE203" s="3343"/>
      <c r="AF203" s="3344"/>
      <c r="AG203" s="3345"/>
      <c r="AH203" s="3346"/>
      <c r="AI203" s="3347"/>
      <c r="AJ203" s="3348"/>
      <c r="AK203" s="3349"/>
      <c r="AL203" s="3350"/>
      <c r="AM203" s="4058"/>
      <c r="AN203" s="1566"/>
      <c r="AO203" s="1548"/>
      <c r="AP203" s="1548" t="str">
        <f t="shared" si="3"/>
        <v>Добавить вид теплоносителя (параметры теплоносителя)</v>
      </c>
      <c r="AQ203" s="1548"/>
      <c r="AR203" s="1548"/>
      <c r="AS203" s="1559">
        <v>0</v>
      </c>
    </row>
    <row r="204" spans="1:45" s="1745" customFormat="1" ht="15" customHeight="1">
      <c r="A204" s="1287"/>
      <c r="B204" s="1287"/>
      <c r="C204" s="1287"/>
      <c r="D204" s="1287"/>
      <c r="E204" s="4034"/>
      <c r="F204" s="4034" t="s">
        <v>146</v>
      </c>
      <c r="G204" s="4034"/>
      <c r="H204" s="4034"/>
      <c r="I204" s="4035"/>
      <c r="J204" s="1287"/>
      <c r="K204" s="1287"/>
      <c r="L204" s="1293"/>
      <c r="M204" s="1290"/>
      <c r="N204" s="1672"/>
      <c r="O204" s="1672"/>
      <c r="P204" s="4037"/>
      <c r="Q204" s="1974"/>
      <c r="R204" s="290"/>
      <c r="S204" s="3351"/>
      <c r="T204" s="3352" t="s">
        <v>620</v>
      </c>
      <c r="U204" s="3353"/>
      <c r="V204" s="3354"/>
      <c r="W204" s="3355"/>
      <c r="X204" s="3356"/>
      <c r="Y204" s="3357"/>
      <c r="Z204" s="3358"/>
      <c r="AA204" s="3359"/>
      <c r="AB204" s="3360"/>
      <c r="AC204" s="3361"/>
      <c r="AD204" s="3362"/>
      <c r="AE204" s="3363"/>
      <c r="AF204" s="3364"/>
      <c r="AG204" s="3365"/>
      <c r="AH204" s="3366"/>
      <c r="AI204" s="3367"/>
      <c r="AJ204" s="3368"/>
      <c r="AK204" s="3369"/>
      <c r="AL204" s="3370"/>
      <c r="AM204" s="3371"/>
      <c r="AN204" s="1566"/>
      <c r="AO204" s="1548"/>
      <c r="AP204" s="1548" t="str">
        <f t="shared" si="3"/>
        <v>Добавить группу потребителей</v>
      </c>
      <c r="AQ204" s="1548"/>
      <c r="AR204" s="1548"/>
      <c r="AS204" s="1559">
        <v>0</v>
      </c>
    </row>
    <row r="205" spans="1:45" s="1745" customFormat="1" ht="14.25" customHeight="1">
      <c r="A205" s="1287"/>
      <c r="B205" s="1287"/>
      <c r="C205" s="1287"/>
      <c r="D205" s="1287"/>
      <c r="E205" s="4034"/>
      <c r="F205" s="4034" t="s">
        <v>146</v>
      </c>
      <c r="G205" s="4034"/>
      <c r="H205" s="4033"/>
      <c r="I205" s="1287"/>
      <c r="J205" s="1287"/>
      <c r="K205" s="1287"/>
      <c r="L205" s="1293"/>
      <c r="M205" s="1289"/>
      <c r="N205" s="1289"/>
      <c r="O205" s="1290"/>
      <c r="P205" s="1718"/>
      <c r="Q205" s="309"/>
      <c r="R205" s="289"/>
      <c r="S205" s="1310"/>
      <c r="T205" s="1311"/>
      <c r="U205" s="1312"/>
      <c r="V205" s="1312"/>
      <c r="W205" s="1312"/>
      <c r="X205" s="1312"/>
      <c r="Y205" s="1312"/>
      <c r="Z205" s="1312"/>
      <c r="AA205" s="1312"/>
      <c r="AB205" s="1312"/>
      <c r="AC205" s="1312"/>
      <c r="AD205" s="1312"/>
      <c r="AE205" s="1312"/>
      <c r="AF205" s="1312"/>
      <c r="AG205" s="1312"/>
      <c r="AH205" s="1312"/>
      <c r="AI205" s="1312"/>
      <c r="AJ205" s="1312"/>
      <c r="AK205" s="1312"/>
      <c r="AL205" s="1312"/>
      <c r="AM205" s="1313"/>
      <c r="AN205" s="1566"/>
      <c r="AO205" s="1548"/>
      <c r="AP205" s="1548" t="str">
        <f t="shared" si="3"/>
        <v/>
      </c>
      <c r="AQ205" s="1548"/>
      <c r="AR205" s="1548"/>
      <c r="AS205" s="1559">
        <v>0</v>
      </c>
    </row>
    <row r="206" spans="1:45" s="556" customFormat="1" ht="0.75" customHeight="1">
      <c r="A206" s="1267"/>
      <c r="B206" s="1267"/>
      <c r="C206" s="1267"/>
      <c r="D206" s="1267"/>
      <c r="E206" s="4034"/>
      <c r="F206" s="4034" t="s">
        <v>146</v>
      </c>
      <c r="G206" s="4033"/>
      <c r="H206" s="1267"/>
      <c r="I206" s="1267"/>
      <c r="J206" s="1267"/>
      <c r="K206" s="1267"/>
      <c r="L206" s="1469"/>
      <c r="M206" s="1239"/>
      <c r="N206" s="1239"/>
      <c r="O206" s="1566"/>
      <c r="P206" s="1240"/>
      <c r="Q206" s="1268"/>
      <c r="R206" s="1240"/>
      <c r="S206" s="1242"/>
      <c r="T206" s="1243" t="s">
        <v>235</v>
      </c>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566"/>
      <c r="AO206" s="1548"/>
      <c r="AP206" s="1548" t="str">
        <f t="shared" si="3"/>
        <v>Добавить источник для дифференциации</v>
      </c>
      <c r="AQ206" s="1548"/>
      <c r="AR206" s="1548"/>
      <c r="AS206" s="1566">
        <v>0</v>
      </c>
    </row>
    <row r="207" spans="1:45" s="556" customFormat="1" ht="0.75" customHeight="1">
      <c r="A207" s="1267"/>
      <c r="B207" s="1267"/>
      <c r="C207" s="1267"/>
      <c r="D207" s="1267"/>
      <c r="E207" s="4034"/>
      <c r="F207" s="4033" t="s">
        <v>146</v>
      </c>
      <c r="G207" s="1267"/>
      <c r="H207" s="1267"/>
      <c r="I207" s="1267"/>
      <c r="J207" s="1267"/>
      <c r="K207" s="1267"/>
      <c r="L207" s="1469"/>
      <c r="M207" s="1245"/>
      <c r="N207" s="1245"/>
      <c r="O207" s="1566"/>
      <c r="P207" s="1240"/>
      <c r="Q207" s="1268"/>
      <c r="R207" s="1240"/>
      <c r="S207" s="1246"/>
      <c r="T207" s="1247" t="s">
        <v>236</v>
      </c>
      <c r="U207" s="1248"/>
      <c r="V207" s="1248"/>
      <c r="W207" s="1248"/>
      <c r="X207" s="1248"/>
      <c r="Y207" s="1248"/>
      <c r="Z207" s="1248"/>
      <c r="AA207" s="1248"/>
      <c r="AB207" s="1248"/>
      <c r="AC207" s="1248"/>
      <c r="AD207" s="1248"/>
      <c r="AE207" s="1248"/>
      <c r="AF207" s="1248"/>
      <c r="AG207" s="1248"/>
      <c r="AH207" s="1248"/>
      <c r="AI207" s="1248"/>
      <c r="AJ207" s="1248"/>
      <c r="AK207" s="1248"/>
      <c r="AL207" s="1248"/>
      <c r="AM207" s="1248"/>
      <c r="AN207" s="1566"/>
      <c r="AO207" s="1548"/>
      <c r="AP207" s="1548" t="str">
        <f t="shared" si="3"/>
        <v>Добавить централизованную систему для дифференциации</v>
      </c>
      <c r="AQ207" s="1548"/>
      <c r="AR207" s="1548"/>
      <c r="AS207" s="1566">
        <v>0</v>
      </c>
    </row>
    <row r="208" spans="1:45" s="1745" customFormat="1" ht="21" customHeight="1">
      <c r="A208" s="1287"/>
      <c r="B208" s="1287" t="s">
        <v>346</v>
      </c>
      <c r="C208" s="1287"/>
      <c r="D208" s="1287"/>
      <c r="E208" s="4034"/>
      <c r="F208" s="4033" t="s">
        <v>153</v>
      </c>
      <c r="G208" s="1287"/>
      <c r="H208" s="1287"/>
      <c r="I208" s="1287"/>
      <c r="J208" s="1287"/>
      <c r="K208" s="1287"/>
      <c r="L208" s="1293"/>
      <c r="M208" s="1289"/>
      <c r="N208" s="1289"/>
      <c r="O208" s="1289"/>
      <c r="P208" s="1970"/>
      <c r="Q208" s="286"/>
      <c r="R208" s="287"/>
      <c r="S208" s="1972" t="str">
        <f>INDEX(PT_DIFFERENTIATION_NUM_TER,MATCH(B208,PT_DIFFERENTIATION_TER_ID,0))</f>
        <v>1.13</v>
      </c>
      <c r="T208" s="1446" t="s">
        <v>605</v>
      </c>
      <c r="U208" s="235"/>
      <c r="V208" s="4027"/>
      <c r="W208" s="4028"/>
      <c r="X208" s="4028"/>
      <c r="Y208" s="4028"/>
      <c r="Z208" s="4028"/>
      <c r="AA208" s="4028"/>
      <c r="AB208" s="4028"/>
      <c r="AC208" s="4029"/>
      <c r="AD208" s="4027" t="str">
        <f>INDEX(PT_DIFFERENTIATION_TER,MATCH(B208,PT_DIFFERENTIATION_TER_ID,0))</f>
        <v>Территория 22</v>
      </c>
      <c r="AE208" s="4028"/>
      <c r="AF208" s="4028"/>
      <c r="AG208" s="4028"/>
      <c r="AH208" s="4028"/>
      <c r="AI208" s="4028"/>
      <c r="AJ208" s="4028"/>
      <c r="AK208" s="4028"/>
      <c r="AL208" s="4029"/>
      <c r="AM208" s="1182" t="s">
        <v>606</v>
      </c>
      <c r="AN208" s="1566"/>
      <c r="AO208" s="1548"/>
      <c r="AP208" s="1548" t="str">
        <f t="shared" si="3"/>
        <v>Территория действия тарифа</v>
      </c>
      <c r="AQ208" s="1548"/>
      <c r="AR208" s="1548"/>
      <c r="AS208" s="1559">
        <v>0</v>
      </c>
    </row>
    <row r="209" spans="1:45" s="1745" customFormat="1" ht="23.25" customHeight="1">
      <c r="A209" s="1287"/>
      <c r="B209" s="1287"/>
      <c r="C209" s="1287" t="s">
        <v>347</v>
      </c>
      <c r="D209" s="1287"/>
      <c r="E209" s="4034"/>
      <c r="F209" s="4034" t="s">
        <v>151</v>
      </c>
      <c r="G209" s="4033">
        <v>1</v>
      </c>
      <c r="H209" s="1287"/>
      <c r="I209" s="1287"/>
      <c r="J209" s="1287"/>
      <c r="K209" s="1287"/>
      <c r="L209" s="1293"/>
      <c r="M209" s="1289"/>
      <c r="N209" s="1289"/>
      <c r="O209" s="1289"/>
      <c r="P209" s="288"/>
      <c r="Q209" s="286"/>
      <c r="R209" s="287"/>
      <c r="S209" s="1972" t="str">
        <f>INDEX(PT_DIFFERENTIATION_NUM_CS,MATCH(C209,PT_DIFFERENTIATION_CS_ID,0))</f>
        <v>1.13.1</v>
      </c>
      <c r="T209" s="244" t="s">
        <v>607</v>
      </c>
      <c r="U209" s="235"/>
      <c r="V209" s="4027"/>
      <c r="W209" s="4028"/>
      <c r="X209" s="4028"/>
      <c r="Y209" s="4028"/>
      <c r="Z209" s="4028"/>
      <c r="AA209" s="4028"/>
      <c r="AB209" s="4028"/>
      <c r="AC209" s="4029"/>
      <c r="AD209" s="4027" t="str">
        <f>INDEX(PT_DIFFERENTIATION_CS,MATCH(C209,PT_DIFFERENTIATION_CS_ID,0))</f>
        <v>Духовщинский ТУ</v>
      </c>
      <c r="AE209" s="4028"/>
      <c r="AF209" s="4028"/>
      <c r="AG209" s="4028"/>
      <c r="AH209" s="4028"/>
      <c r="AI209" s="4028"/>
      <c r="AJ209" s="4028"/>
      <c r="AK209" s="4028"/>
      <c r="AL209" s="4029"/>
      <c r="AM209" s="1182" t="s">
        <v>608</v>
      </c>
      <c r="AN209" s="1566"/>
      <c r="AO209" s="1548"/>
      <c r="AP209" s="1548" t="str">
        <f t="shared" si="3"/>
        <v xml:space="preserve">Наименование системы теплоснабжения </v>
      </c>
      <c r="AQ209" s="1548"/>
      <c r="AR209" s="1548"/>
      <c r="AS209" s="1559">
        <v>0</v>
      </c>
    </row>
    <row r="210" spans="1:45" s="1745" customFormat="1" ht="21" customHeight="1">
      <c r="A210" s="1287"/>
      <c r="B210" s="1287"/>
      <c r="C210" s="1287"/>
      <c r="D210" s="1287" t="s">
        <v>348</v>
      </c>
      <c r="E210" s="4034"/>
      <c r="F210" s="4034" t="s">
        <v>151</v>
      </c>
      <c r="G210" s="4034"/>
      <c r="H210" s="4033">
        <v>1</v>
      </c>
      <c r="I210" s="1287"/>
      <c r="J210" s="1287"/>
      <c r="K210" s="1287"/>
      <c r="L210" s="1293"/>
      <c r="M210" s="1289"/>
      <c r="N210" s="1289"/>
      <c r="O210" s="1289"/>
      <c r="P210" s="288"/>
      <c r="Q210" s="286"/>
      <c r="R210" s="287"/>
      <c r="S210" s="1972" t="str">
        <f>INDEX(PT_DIFFERENTIATION_NUM_IST_TE,MATCH(D210,PT_DIFFERENTIATION_IST_TE_ID,0))</f>
        <v>1.13.1.1</v>
      </c>
      <c r="T210" s="245" t="s">
        <v>609</v>
      </c>
      <c r="U210" s="235"/>
      <c r="V210" s="4027"/>
      <c r="W210" s="4028"/>
      <c r="X210" s="4028"/>
      <c r="Y210" s="4028"/>
      <c r="Z210" s="4028"/>
      <c r="AA210" s="4028"/>
      <c r="AB210" s="4028"/>
      <c r="AC210" s="4029"/>
      <c r="AD210" s="4027" t="str">
        <f>INDEX(PT_DIFFERENTIATION_IST_TE,MATCH(D210,PT_DIFFERENTIATION_IST_TE_ID,0))</f>
        <v>без дифференциации</v>
      </c>
      <c r="AE210" s="4028"/>
      <c r="AF210" s="4028"/>
      <c r="AG210" s="4028"/>
      <c r="AH210" s="4028"/>
      <c r="AI210" s="4028"/>
      <c r="AJ210" s="4028"/>
      <c r="AK210" s="4028"/>
      <c r="AL210" s="4029"/>
      <c r="AM210" s="1182" t="s">
        <v>610</v>
      </c>
      <c r="AN210" s="1566"/>
      <c r="AO210" s="1548"/>
      <c r="AP210" s="1548" t="str">
        <f t="shared" si="3"/>
        <v xml:space="preserve">Источник тепловой энергии  </v>
      </c>
      <c r="AQ210" s="1548"/>
      <c r="AR210" s="1548"/>
      <c r="AS210" s="1559">
        <v>0</v>
      </c>
    </row>
    <row r="211" spans="1:45" s="1745" customFormat="1" ht="14.25" customHeight="1">
      <c r="A211" s="1287"/>
      <c r="B211" s="1287"/>
      <c r="C211" s="1287"/>
      <c r="D211" s="1287"/>
      <c r="E211" s="4034"/>
      <c r="F211" s="4034" t="s">
        <v>151</v>
      </c>
      <c r="G211" s="4034"/>
      <c r="H211" s="4034"/>
      <c r="I211" s="4035" t="str">
        <f>S210&amp;".1"</f>
        <v>1.13.1.1.1</v>
      </c>
      <c r="J211" s="1287"/>
      <c r="K211" s="1287"/>
      <c r="L211" s="1293" t="s">
        <v>611</v>
      </c>
      <c r="M211" s="1290"/>
      <c r="N211" s="1672"/>
      <c r="O211" s="1672"/>
      <c r="P211" s="4037">
        <v>1</v>
      </c>
      <c r="Q211" s="1974"/>
      <c r="R211" s="290"/>
      <c r="S211" s="1973"/>
      <c r="T211" s="1307"/>
      <c r="U211" s="1308"/>
      <c r="V211" s="4064"/>
      <c r="W211" s="4065"/>
      <c r="X211" s="4065"/>
      <c r="Y211" s="4065"/>
      <c r="Z211" s="4065"/>
      <c r="AA211" s="4065"/>
      <c r="AB211" s="4065"/>
      <c r="AC211" s="4066"/>
      <c r="AD211" s="4064"/>
      <c r="AE211" s="4065"/>
      <c r="AF211" s="4065"/>
      <c r="AG211" s="4065"/>
      <c r="AH211" s="4065"/>
      <c r="AI211" s="4065"/>
      <c r="AJ211" s="4065"/>
      <c r="AK211" s="4065"/>
      <c r="AL211" s="4066"/>
      <c r="AM211" s="1309"/>
      <c r="AN211" s="1566"/>
      <c r="AO211" s="1548"/>
      <c r="AP211" s="1548" t="str">
        <f t="shared" si="3"/>
        <v/>
      </c>
      <c r="AQ211" s="1548"/>
      <c r="AR211" s="1548"/>
      <c r="AS211" s="1559">
        <v>0</v>
      </c>
    </row>
    <row r="212" spans="1:45" s="1745" customFormat="1" ht="21" customHeight="1">
      <c r="A212" s="1287"/>
      <c r="B212" s="1287"/>
      <c r="C212" s="1287"/>
      <c r="D212" s="1287"/>
      <c r="E212" s="4034"/>
      <c r="F212" s="4034" t="s">
        <v>151</v>
      </c>
      <c r="G212" s="4034"/>
      <c r="H212" s="4034"/>
      <c r="I212" s="4036"/>
      <c r="J212" s="4035" t="str">
        <f>I211&amp;".1"</f>
        <v>1.13.1.1.1.1</v>
      </c>
      <c r="K212" s="1287"/>
      <c r="L212" s="1293" t="s">
        <v>614</v>
      </c>
      <c r="M212" s="1290"/>
      <c r="N212" s="1290"/>
      <c r="O212" s="1672"/>
      <c r="P212" s="4037"/>
      <c r="Q212" s="4037">
        <v>1</v>
      </c>
      <c r="R212" s="291"/>
      <c r="S212" s="1972" t="str">
        <f>$J212</f>
        <v>1.13.1.1.1.1</v>
      </c>
      <c r="T212" s="221" t="s">
        <v>615</v>
      </c>
      <c r="U212" s="235"/>
      <c r="V212" s="4021"/>
      <c r="W212" s="4022"/>
      <c r="X212" s="4022"/>
      <c r="Y212" s="4022"/>
      <c r="Z212" s="4022"/>
      <c r="AA212" s="4022"/>
      <c r="AB212" s="4022"/>
      <c r="AC212" s="4023"/>
      <c r="AD212" s="4021" t="s">
        <v>654</v>
      </c>
      <c r="AE212" s="4022"/>
      <c r="AF212" s="4022"/>
      <c r="AG212" s="4022"/>
      <c r="AH212" s="4022"/>
      <c r="AI212" s="4022"/>
      <c r="AJ212" s="4022"/>
      <c r="AK212" s="4022"/>
      <c r="AL212" s="4023"/>
      <c r="AM212" s="1182" t="s">
        <v>616</v>
      </c>
      <c r="AN212" s="1566"/>
      <c r="AO212" s="1548"/>
      <c r="AP212" s="1548" t="str">
        <f t="shared" si="3"/>
        <v>Группа потребителей</v>
      </c>
      <c r="AQ212" s="1548"/>
      <c r="AR212" s="1548"/>
      <c r="AS212" s="1559">
        <v>0</v>
      </c>
    </row>
    <row r="213" spans="1:45" s="1745" customFormat="1" ht="21" customHeight="1">
      <c r="A213" s="1287"/>
      <c r="B213" s="1287"/>
      <c r="C213" s="1287"/>
      <c r="D213" s="1287"/>
      <c r="E213" s="4034"/>
      <c r="F213" s="4034" t="s">
        <v>151</v>
      </c>
      <c r="G213" s="4034"/>
      <c r="H213" s="4034"/>
      <c r="I213" s="4036"/>
      <c r="J213" s="4036"/>
      <c r="K213" s="4035" t="str">
        <f>J212&amp;".1"</f>
        <v>1.13.1.1.1.1.1</v>
      </c>
      <c r="L213" s="1293" t="s">
        <v>617</v>
      </c>
      <c r="M213" s="1290"/>
      <c r="N213" s="1290"/>
      <c r="O213" s="1290"/>
      <c r="P213" s="4037"/>
      <c r="Q213" s="4037"/>
      <c r="R213" s="291">
        <v>1</v>
      </c>
      <c r="S213" s="1972" t="str">
        <f>$K213</f>
        <v>1.13.1.1.1.1.1</v>
      </c>
      <c r="T213" s="1271" t="s">
        <v>656</v>
      </c>
      <c r="U213" s="235"/>
      <c r="V213" s="685"/>
      <c r="W213" s="260"/>
      <c r="X213" s="685"/>
      <c r="Y213" s="1181"/>
      <c r="Z213" s="4038"/>
      <c r="AA213" s="3899" t="s">
        <v>53</v>
      </c>
      <c r="AB213" s="4038"/>
      <c r="AC213" s="3899" t="s">
        <v>53</v>
      </c>
      <c r="AD213" s="685">
        <v>317.38</v>
      </c>
      <c r="AE213" s="260"/>
      <c r="AF213" s="685"/>
      <c r="AG213" s="1181"/>
      <c r="AH213" s="4038">
        <v>46023.373391203706</v>
      </c>
      <c r="AI213" s="3899" t="s">
        <v>53</v>
      </c>
      <c r="AJ213" s="4038">
        <v>46387.374247685184</v>
      </c>
      <c r="AK213" s="3899" t="s">
        <v>53</v>
      </c>
      <c r="AL213" s="260"/>
      <c r="AM213" s="4056" t="s">
        <v>618</v>
      </c>
      <c r="AN213" s="1566" t="e">
        <f ca="1">STRCHECKDATE(V214:AL214)</f>
        <v>#NAME?</v>
      </c>
      <c r="AO213" s="1548"/>
      <c r="AP213" s="1548" t="str">
        <f t="shared" si="3"/>
        <v>вода</v>
      </c>
      <c r="AQ213" s="1548"/>
      <c r="AR213" s="1548"/>
      <c r="AS213" s="1559">
        <v>0</v>
      </c>
    </row>
    <row r="214" spans="1:45" s="1745" customFormat="1" ht="0.75" customHeight="1">
      <c r="A214" s="1287"/>
      <c r="B214" s="1287"/>
      <c r="C214" s="1287"/>
      <c r="D214" s="1287"/>
      <c r="E214" s="4034"/>
      <c r="F214" s="4034" t="s">
        <v>151</v>
      </c>
      <c r="G214" s="4034"/>
      <c r="H214" s="4034"/>
      <c r="I214" s="4036"/>
      <c r="J214" s="4036"/>
      <c r="K214" s="4035"/>
      <c r="L214" s="1293"/>
      <c r="M214" s="1290"/>
      <c r="N214" s="1290"/>
      <c r="O214" s="1290"/>
      <c r="P214" s="4037"/>
      <c r="Q214" s="4037"/>
      <c r="R214" s="291"/>
      <c r="S214" s="1978"/>
      <c r="T214" s="235"/>
      <c r="U214" s="235"/>
      <c r="V214" s="260"/>
      <c r="W214" s="260"/>
      <c r="X214" s="260"/>
      <c r="Y214" s="263" t="str">
        <f>Z213&amp;"-"&amp;AB213</f>
        <v>-</v>
      </c>
      <c r="Z214" s="4039"/>
      <c r="AA214" s="3899"/>
      <c r="AB214" s="4039"/>
      <c r="AC214" s="3899"/>
      <c r="AD214" s="260"/>
      <c r="AE214" s="260"/>
      <c r="AF214" s="260"/>
      <c r="AG214" s="263" t="str">
        <f>AH213&amp;"-"&amp;AJ213</f>
        <v>46023,3733912037-46387,3742476852</v>
      </c>
      <c r="AH214" s="4039"/>
      <c r="AI214" s="3899"/>
      <c r="AJ214" s="4039"/>
      <c r="AK214" s="3899"/>
      <c r="AL214" s="260"/>
      <c r="AM214" s="4057"/>
      <c r="AN214" s="1566"/>
      <c r="AO214" s="1548"/>
      <c r="AP214" s="1548" t="str">
        <f t="shared" si="3"/>
        <v/>
      </c>
      <c r="AQ214" s="1548"/>
      <c r="AR214" s="1548"/>
      <c r="AS214" s="1559">
        <v>0</v>
      </c>
    </row>
    <row r="215" spans="1:45" s="1745" customFormat="1" ht="15" customHeight="1">
      <c r="A215" s="1287"/>
      <c r="B215" s="1287"/>
      <c r="C215" s="1287"/>
      <c r="D215" s="1287"/>
      <c r="E215" s="4034"/>
      <c r="F215" s="4034" t="s">
        <v>151</v>
      </c>
      <c r="G215" s="4034"/>
      <c r="H215" s="4034"/>
      <c r="I215" s="4036"/>
      <c r="J215" s="4035"/>
      <c r="K215" s="1287"/>
      <c r="L215" s="1293"/>
      <c r="M215" s="1290"/>
      <c r="N215" s="1290"/>
      <c r="O215" s="1672"/>
      <c r="P215" s="4037"/>
      <c r="Q215" s="4037"/>
      <c r="R215" s="290"/>
      <c r="S215" s="3372"/>
      <c r="T215" s="3373" t="s">
        <v>619</v>
      </c>
      <c r="U215" s="3374"/>
      <c r="V215" s="3375"/>
      <c r="W215" s="3376"/>
      <c r="X215" s="3377"/>
      <c r="Y215" s="3378"/>
      <c r="Z215" s="3379"/>
      <c r="AA215" s="3380"/>
      <c r="AB215" s="3381"/>
      <c r="AC215" s="3382"/>
      <c r="AD215" s="3383"/>
      <c r="AE215" s="3384"/>
      <c r="AF215" s="3385"/>
      <c r="AG215" s="3386"/>
      <c r="AH215" s="3387"/>
      <c r="AI215" s="3388"/>
      <c r="AJ215" s="3389"/>
      <c r="AK215" s="3390"/>
      <c r="AL215" s="3391"/>
      <c r="AM215" s="4058"/>
      <c r="AN215" s="1566"/>
      <c r="AO215" s="1548"/>
      <c r="AP215" s="1548" t="str">
        <f t="shared" si="3"/>
        <v>Добавить вид теплоносителя (параметры теплоносителя)</v>
      </c>
      <c r="AQ215" s="1548"/>
      <c r="AR215" s="1548"/>
      <c r="AS215" s="1559">
        <v>0</v>
      </c>
    </row>
    <row r="216" spans="1:45" s="1745" customFormat="1" ht="15" customHeight="1">
      <c r="A216" s="1287"/>
      <c r="B216" s="1287"/>
      <c r="C216" s="1287"/>
      <c r="D216" s="1287"/>
      <c r="E216" s="4034"/>
      <c r="F216" s="4034" t="s">
        <v>151</v>
      </c>
      <c r="G216" s="4034"/>
      <c r="H216" s="4034"/>
      <c r="I216" s="4035"/>
      <c r="J216" s="1287"/>
      <c r="K216" s="1287"/>
      <c r="L216" s="1293"/>
      <c r="M216" s="1290"/>
      <c r="N216" s="1672"/>
      <c r="O216" s="1672"/>
      <c r="P216" s="4037"/>
      <c r="Q216" s="1974"/>
      <c r="R216" s="290"/>
      <c r="S216" s="3392"/>
      <c r="T216" s="3393" t="s">
        <v>620</v>
      </c>
      <c r="U216" s="3394"/>
      <c r="V216" s="3395"/>
      <c r="W216" s="3396"/>
      <c r="X216" s="3397"/>
      <c r="Y216" s="3398"/>
      <c r="Z216" s="3399"/>
      <c r="AA216" s="3400"/>
      <c r="AB216" s="3401"/>
      <c r="AC216" s="3402"/>
      <c r="AD216" s="3403"/>
      <c r="AE216" s="3404"/>
      <c r="AF216" s="3405"/>
      <c r="AG216" s="3406"/>
      <c r="AH216" s="3407"/>
      <c r="AI216" s="3408"/>
      <c r="AJ216" s="3409"/>
      <c r="AK216" s="3410"/>
      <c r="AL216" s="3411"/>
      <c r="AM216" s="3412"/>
      <c r="AN216" s="1566"/>
      <c r="AO216" s="1548"/>
      <c r="AP216" s="1548" t="str">
        <f t="shared" si="3"/>
        <v>Добавить группу потребителей</v>
      </c>
      <c r="AQ216" s="1548"/>
      <c r="AR216" s="1548"/>
      <c r="AS216" s="1559">
        <v>0</v>
      </c>
    </row>
    <row r="217" spans="1:45" s="1745" customFormat="1" ht="14.25" customHeight="1">
      <c r="A217" s="1287"/>
      <c r="B217" s="1287"/>
      <c r="C217" s="1287"/>
      <c r="D217" s="1287"/>
      <c r="E217" s="4034"/>
      <c r="F217" s="4034" t="s">
        <v>151</v>
      </c>
      <c r="G217" s="4034"/>
      <c r="H217" s="4033"/>
      <c r="I217" s="1287"/>
      <c r="J217" s="1287"/>
      <c r="K217" s="1287"/>
      <c r="L217" s="1293"/>
      <c r="M217" s="1289"/>
      <c r="N217" s="1289"/>
      <c r="O217" s="1290"/>
      <c r="P217" s="1718"/>
      <c r="Q217" s="309"/>
      <c r="R217" s="289"/>
      <c r="S217" s="1310"/>
      <c r="T217" s="1311"/>
      <c r="U217" s="1312"/>
      <c r="V217" s="1312"/>
      <c r="W217" s="1312"/>
      <c r="X217" s="1312"/>
      <c r="Y217" s="1312"/>
      <c r="Z217" s="1312"/>
      <c r="AA217" s="1312"/>
      <c r="AB217" s="1312"/>
      <c r="AC217" s="1312"/>
      <c r="AD217" s="1312"/>
      <c r="AE217" s="1312"/>
      <c r="AF217" s="1312"/>
      <c r="AG217" s="1312"/>
      <c r="AH217" s="1312"/>
      <c r="AI217" s="1312"/>
      <c r="AJ217" s="1312"/>
      <c r="AK217" s="1312"/>
      <c r="AL217" s="1312"/>
      <c r="AM217" s="1313"/>
      <c r="AN217" s="1566"/>
      <c r="AO217" s="1548"/>
      <c r="AP217" s="1548" t="str">
        <f t="shared" si="3"/>
        <v/>
      </c>
      <c r="AQ217" s="1548"/>
      <c r="AR217" s="1548"/>
      <c r="AS217" s="1559">
        <v>0</v>
      </c>
    </row>
    <row r="218" spans="1:45" s="556" customFormat="1" ht="0.75" customHeight="1">
      <c r="A218" s="1267"/>
      <c r="B218" s="1267"/>
      <c r="C218" s="1267"/>
      <c r="D218" s="1267"/>
      <c r="E218" s="4034"/>
      <c r="F218" s="4034" t="s">
        <v>151</v>
      </c>
      <c r="G218" s="4033"/>
      <c r="H218" s="1267"/>
      <c r="I218" s="1267"/>
      <c r="J218" s="1267"/>
      <c r="K218" s="1267"/>
      <c r="L218" s="1469"/>
      <c r="M218" s="1239"/>
      <c r="N218" s="1239"/>
      <c r="O218" s="1566"/>
      <c r="P218" s="1240"/>
      <c r="Q218" s="1268"/>
      <c r="R218" s="1240"/>
      <c r="S218" s="1242"/>
      <c r="T218" s="1243" t="s">
        <v>235</v>
      </c>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566"/>
      <c r="AO218" s="1548"/>
      <c r="AP218" s="1548" t="str">
        <f t="shared" si="3"/>
        <v>Добавить источник для дифференциации</v>
      </c>
      <c r="AQ218" s="1548"/>
      <c r="AR218" s="1548"/>
      <c r="AS218" s="1566">
        <v>0</v>
      </c>
    </row>
    <row r="219" spans="1:45" s="556" customFormat="1" ht="0.75" customHeight="1">
      <c r="A219" s="1267"/>
      <c r="B219" s="1267"/>
      <c r="C219" s="1267"/>
      <c r="D219" s="1267"/>
      <c r="E219" s="4034"/>
      <c r="F219" s="4033" t="s">
        <v>151</v>
      </c>
      <c r="G219" s="1267"/>
      <c r="H219" s="1267"/>
      <c r="I219" s="1267"/>
      <c r="J219" s="1267"/>
      <c r="K219" s="1267"/>
      <c r="L219" s="1469"/>
      <c r="M219" s="1245"/>
      <c r="N219" s="1245"/>
      <c r="O219" s="1566"/>
      <c r="P219" s="1240"/>
      <c r="Q219" s="1268"/>
      <c r="R219" s="1240"/>
      <c r="S219" s="1246"/>
      <c r="T219" s="1247" t="s">
        <v>236</v>
      </c>
      <c r="U219" s="1248"/>
      <c r="V219" s="1248"/>
      <c r="W219" s="1248"/>
      <c r="X219" s="1248"/>
      <c r="Y219" s="1248"/>
      <c r="Z219" s="1248"/>
      <c r="AA219" s="1248"/>
      <c r="AB219" s="1248"/>
      <c r="AC219" s="1248"/>
      <c r="AD219" s="1248"/>
      <c r="AE219" s="1248"/>
      <c r="AF219" s="1248"/>
      <c r="AG219" s="1248"/>
      <c r="AH219" s="1248"/>
      <c r="AI219" s="1248"/>
      <c r="AJ219" s="1248"/>
      <c r="AK219" s="1248"/>
      <c r="AL219" s="1248"/>
      <c r="AM219" s="1248"/>
      <c r="AN219" s="1566"/>
      <c r="AO219" s="1548"/>
      <c r="AP219" s="1548" t="str">
        <f t="shared" si="3"/>
        <v>Добавить централизованную систему для дифференциации</v>
      </c>
      <c r="AQ219" s="1548"/>
      <c r="AR219" s="1548"/>
      <c r="AS219" s="1566">
        <v>0</v>
      </c>
    </row>
    <row r="220" spans="1:45" s="1745" customFormat="1" ht="21" customHeight="1">
      <c r="A220" s="1287"/>
      <c r="B220" s="1287" t="s">
        <v>350</v>
      </c>
      <c r="C220" s="1287"/>
      <c r="D220" s="1287"/>
      <c r="E220" s="4034"/>
      <c r="F220" s="4033" t="s">
        <v>157</v>
      </c>
      <c r="G220" s="1287"/>
      <c r="H220" s="1287"/>
      <c r="I220" s="1287"/>
      <c r="J220" s="1287"/>
      <c r="K220" s="1287"/>
      <c r="L220" s="1293"/>
      <c r="M220" s="1289"/>
      <c r="N220" s="1289"/>
      <c r="O220" s="1289"/>
      <c r="P220" s="1970"/>
      <c r="Q220" s="286"/>
      <c r="R220" s="287"/>
      <c r="S220" s="1972" t="str">
        <f>INDEX(PT_DIFFERENTIATION_NUM_TER,MATCH(B220,PT_DIFFERENTIATION_TER_ID,0))</f>
        <v>1.14</v>
      </c>
      <c r="T220" s="1446" t="s">
        <v>605</v>
      </c>
      <c r="U220" s="235"/>
      <c r="V220" s="4027"/>
      <c r="W220" s="4028"/>
      <c r="X220" s="4028"/>
      <c r="Y220" s="4028"/>
      <c r="Z220" s="4028"/>
      <c r="AA220" s="4028"/>
      <c r="AB220" s="4028"/>
      <c r="AC220" s="4029"/>
      <c r="AD220" s="4027" t="str">
        <f>INDEX(PT_DIFFERENTIATION_TER,MATCH(B220,PT_DIFFERENTIATION_TER_ID,0))</f>
        <v>Территория 7</v>
      </c>
      <c r="AE220" s="4028"/>
      <c r="AF220" s="4028"/>
      <c r="AG220" s="4028"/>
      <c r="AH220" s="4028"/>
      <c r="AI220" s="4028"/>
      <c r="AJ220" s="4028"/>
      <c r="AK220" s="4028"/>
      <c r="AL220" s="4029"/>
      <c r="AM220" s="1182" t="s">
        <v>606</v>
      </c>
      <c r="AN220" s="1566"/>
      <c r="AO220" s="1548"/>
      <c r="AP220" s="1548" t="str">
        <f t="shared" si="3"/>
        <v>Территория действия тарифа</v>
      </c>
      <c r="AQ220" s="1548"/>
      <c r="AR220" s="1548"/>
      <c r="AS220" s="1559">
        <v>0</v>
      </c>
    </row>
    <row r="221" spans="1:45" s="1745" customFormat="1" ht="23.25" customHeight="1">
      <c r="A221" s="1287"/>
      <c r="B221" s="1287"/>
      <c r="C221" s="1287" t="s">
        <v>351</v>
      </c>
      <c r="D221" s="1287"/>
      <c r="E221" s="4034"/>
      <c r="F221" s="4034" t="s">
        <v>155</v>
      </c>
      <c r="G221" s="4033">
        <v>1</v>
      </c>
      <c r="H221" s="1287"/>
      <c r="I221" s="1287"/>
      <c r="J221" s="1287"/>
      <c r="K221" s="1287"/>
      <c r="L221" s="1293"/>
      <c r="M221" s="1289"/>
      <c r="N221" s="1289"/>
      <c r="O221" s="1289"/>
      <c r="P221" s="288"/>
      <c r="Q221" s="286"/>
      <c r="R221" s="287"/>
      <c r="S221" s="1972" t="str">
        <f>INDEX(PT_DIFFERENTIATION_NUM_CS,MATCH(C221,PT_DIFFERENTIATION_CS_ID,0))</f>
        <v>1.14.1</v>
      </c>
      <c r="T221" s="244" t="s">
        <v>607</v>
      </c>
      <c r="U221" s="235"/>
      <c r="V221" s="4027"/>
      <c r="W221" s="4028"/>
      <c r="X221" s="4028"/>
      <c r="Y221" s="4028"/>
      <c r="Z221" s="4028"/>
      <c r="AA221" s="4028"/>
      <c r="AB221" s="4028"/>
      <c r="AC221" s="4029"/>
      <c r="AD221" s="4027" t="str">
        <f>INDEX(PT_DIFFERENTIATION_CS,MATCH(C221,PT_DIFFERENTIATION_CS_ID,0))</f>
        <v>Дорогобужский ТУ котельная БМК Михайловское</v>
      </c>
      <c r="AE221" s="4028"/>
      <c r="AF221" s="4028"/>
      <c r="AG221" s="4028"/>
      <c r="AH221" s="4028"/>
      <c r="AI221" s="4028"/>
      <c r="AJ221" s="4028"/>
      <c r="AK221" s="4028"/>
      <c r="AL221" s="4029"/>
      <c r="AM221" s="1182" t="s">
        <v>608</v>
      </c>
      <c r="AN221" s="1566"/>
      <c r="AO221" s="1548"/>
      <c r="AP221" s="1548" t="str">
        <f t="shared" si="3"/>
        <v xml:space="preserve">Наименование системы теплоснабжения </v>
      </c>
      <c r="AQ221" s="1548"/>
      <c r="AR221" s="1548"/>
      <c r="AS221" s="1559">
        <v>0</v>
      </c>
    </row>
    <row r="222" spans="1:45" s="1745" customFormat="1" ht="21" customHeight="1">
      <c r="A222" s="1287"/>
      <c r="B222" s="1287"/>
      <c r="C222" s="1287"/>
      <c r="D222" s="1287" t="s">
        <v>352</v>
      </c>
      <c r="E222" s="4034"/>
      <c r="F222" s="4034" t="s">
        <v>155</v>
      </c>
      <c r="G222" s="4034"/>
      <c r="H222" s="4033">
        <v>1</v>
      </c>
      <c r="I222" s="1287"/>
      <c r="J222" s="1287"/>
      <c r="K222" s="1287"/>
      <c r="L222" s="1293"/>
      <c r="M222" s="1289"/>
      <c r="N222" s="1289"/>
      <c r="O222" s="1289"/>
      <c r="P222" s="288"/>
      <c r="Q222" s="286"/>
      <c r="R222" s="287"/>
      <c r="S222" s="1972" t="str">
        <f>INDEX(PT_DIFFERENTIATION_NUM_IST_TE,MATCH(D222,PT_DIFFERENTIATION_IST_TE_ID,0))</f>
        <v>1.14.1.1</v>
      </c>
      <c r="T222" s="245" t="s">
        <v>609</v>
      </c>
      <c r="U222" s="235"/>
      <c r="V222" s="4027"/>
      <c r="W222" s="4028"/>
      <c r="X222" s="4028"/>
      <c r="Y222" s="4028"/>
      <c r="Z222" s="4028"/>
      <c r="AA222" s="4028"/>
      <c r="AB222" s="4028"/>
      <c r="AC222" s="4029"/>
      <c r="AD222" s="4027" t="str">
        <f>INDEX(PT_DIFFERENTIATION_IST_TE,MATCH(D222,PT_DIFFERENTIATION_IST_TE_ID,0))</f>
        <v>без дифференциации</v>
      </c>
      <c r="AE222" s="4028"/>
      <c r="AF222" s="4028"/>
      <c r="AG222" s="4028"/>
      <c r="AH222" s="4028"/>
      <c r="AI222" s="4028"/>
      <c r="AJ222" s="4028"/>
      <c r="AK222" s="4028"/>
      <c r="AL222" s="4029"/>
      <c r="AM222" s="1182" t="s">
        <v>610</v>
      </c>
      <c r="AN222" s="1566"/>
      <c r="AO222" s="1548"/>
      <c r="AP222" s="1548" t="str">
        <f t="shared" si="3"/>
        <v xml:space="preserve">Источник тепловой энергии  </v>
      </c>
      <c r="AQ222" s="1548"/>
      <c r="AR222" s="1548"/>
      <c r="AS222" s="1559">
        <v>0</v>
      </c>
    </row>
    <row r="223" spans="1:45" s="1745" customFormat="1" ht="14.25" customHeight="1">
      <c r="A223" s="1287"/>
      <c r="B223" s="1287"/>
      <c r="C223" s="1287"/>
      <c r="D223" s="1287"/>
      <c r="E223" s="4034"/>
      <c r="F223" s="4034" t="s">
        <v>155</v>
      </c>
      <c r="G223" s="4034"/>
      <c r="H223" s="4034"/>
      <c r="I223" s="4035" t="str">
        <f>S222&amp;".1"</f>
        <v>1.14.1.1.1</v>
      </c>
      <c r="J223" s="1287"/>
      <c r="K223" s="1287"/>
      <c r="L223" s="1293" t="s">
        <v>611</v>
      </c>
      <c r="M223" s="1290"/>
      <c r="N223" s="1672"/>
      <c r="O223" s="1672"/>
      <c r="P223" s="4037">
        <v>1</v>
      </c>
      <c r="Q223" s="1974"/>
      <c r="R223" s="290"/>
      <c r="S223" s="1973"/>
      <c r="T223" s="1307"/>
      <c r="U223" s="1308"/>
      <c r="V223" s="4064"/>
      <c r="W223" s="4065"/>
      <c r="X223" s="4065"/>
      <c r="Y223" s="4065"/>
      <c r="Z223" s="4065"/>
      <c r="AA223" s="4065"/>
      <c r="AB223" s="4065"/>
      <c r="AC223" s="4066"/>
      <c r="AD223" s="4064"/>
      <c r="AE223" s="4065"/>
      <c r="AF223" s="4065"/>
      <c r="AG223" s="4065"/>
      <c r="AH223" s="4065"/>
      <c r="AI223" s="4065"/>
      <c r="AJ223" s="4065"/>
      <c r="AK223" s="4065"/>
      <c r="AL223" s="4066"/>
      <c r="AM223" s="1309"/>
      <c r="AN223" s="1566"/>
      <c r="AO223" s="1548"/>
      <c r="AP223" s="1548" t="str">
        <f t="shared" si="3"/>
        <v/>
      </c>
      <c r="AQ223" s="1548"/>
      <c r="AR223" s="1548"/>
      <c r="AS223" s="1559">
        <v>0</v>
      </c>
    </row>
    <row r="224" spans="1:45" s="1745" customFormat="1" ht="21" customHeight="1">
      <c r="A224" s="1287"/>
      <c r="B224" s="1287"/>
      <c r="C224" s="1287"/>
      <c r="D224" s="1287"/>
      <c r="E224" s="4034"/>
      <c r="F224" s="4034" t="s">
        <v>155</v>
      </c>
      <c r="G224" s="4034"/>
      <c r="H224" s="4034"/>
      <c r="I224" s="4036"/>
      <c r="J224" s="4035" t="str">
        <f>I223&amp;".1"</f>
        <v>1.14.1.1.1.1</v>
      </c>
      <c r="K224" s="1287"/>
      <c r="L224" s="1293" t="s">
        <v>614</v>
      </c>
      <c r="M224" s="1290"/>
      <c r="N224" s="1290"/>
      <c r="O224" s="1672"/>
      <c r="P224" s="4037"/>
      <c r="Q224" s="4037">
        <v>1</v>
      </c>
      <c r="R224" s="291"/>
      <c r="S224" s="1972" t="str">
        <f>$J224</f>
        <v>1.14.1.1.1.1</v>
      </c>
      <c r="T224" s="221" t="s">
        <v>615</v>
      </c>
      <c r="U224" s="235"/>
      <c r="V224" s="4021"/>
      <c r="W224" s="4022"/>
      <c r="X224" s="4022"/>
      <c r="Y224" s="4022"/>
      <c r="Z224" s="4022"/>
      <c r="AA224" s="4022"/>
      <c r="AB224" s="4022"/>
      <c r="AC224" s="4023"/>
      <c r="AD224" s="4021" t="s">
        <v>654</v>
      </c>
      <c r="AE224" s="4022"/>
      <c r="AF224" s="4022"/>
      <c r="AG224" s="4022"/>
      <c r="AH224" s="4022"/>
      <c r="AI224" s="4022"/>
      <c r="AJ224" s="4022"/>
      <c r="AK224" s="4022"/>
      <c r="AL224" s="4023"/>
      <c r="AM224" s="1182" t="s">
        <v>616</v>
      </c>
      <c r="AN224" s="1566"/>
      <c r="AO224" s="1548"/>
      <c r="AP224" s="1548" t="str">
        <f t="shared" si="3"/>
        <v>Группа потребителей</v>
      </c>
      <c r="AQ224" s="1548"/>
      <c r="AR224" s="1548"/>
      <c r="AS224" s="1559">
        <v>0</v>
      </c>
    </row>
    <row r="225" spans="1:45" s="1745" customFormat="1" ht="21" customHeight="1">
      <c r="A225" s="1287"/>
      <c r="B225" s="1287"/>
      <c r="C225" s="1287"/>
      <c r="D225" s="1287"/>
      <c r="E225" s="4034"/>
      <c r="F225" s="4034" t="s">
        <v>155</v>
      </c>
      <c r="G225" s="4034"/>
      <c r="H225" s="4034"/>
      <c r="I225" s="4036"/>
      <c r="J225" s="4036"/>
      <c r="K225" s="4035" t="str">
        <f>J224&amp;".1"</f>
        <v>1.14.1.1.1.1.1</v>
      </c>
      <c r="L225" s="1293" t="s">
        <v>617</v>
      </c>
      <c r="M225" s="1290"/>
      <c r="N225" s="1290"/>
      <c r="O225" s="1290"/>
      <c r="P225" s="4037"/>
      <c r="Q225" s="4037"/>
      <c r="R225" s="291">
        <v>1</v>
      </c>
      <c r="S225" s="1972" t="str">
        <f>$K225</f>
        <v>1.14.1.1.1.1.1</v>
      </c>
      <c r="T225" s="1271" t="s">
        <v>656</v>
      </c>
      <c r="U225" s="235"/>
      <c r="V225" s="685"/>
      <c r="W225" s="260"/>
      <c r="X225" s="685"/>
      <c r="Y225" s="1181"/>
      <c r="Z225" s="4038"/>
      <c r="AA225" s="3899" t="s">
        <v>53</v>
      </c>
      <c r="AB225" s="4038"/>
      <c r="AC225" s="3899" t="s">
        <v>53</v>
      </c>
      <c r="AD225" s="685">
        <v>313.36</v>
      </c>
      <c r="AE225" s="260"/>
      <c r="AF225" s="685"/>
      <c r="AG225" s="1181"/>
      <c r="AH225" s="4038">
        <v>46023.389537037037</v>
      </c>
      <c r="AI225" s="3899" t="s">
        <v>53</v>
      </c>
      <c r="AJ225" s="4038">
        <v>46387.389710648145</v>
      </c>
      <c r="AK225" s="3899" t="s">
        <v>53</v>
      </c>
      <c r="AL225" s="260"/>
      <c r="AM225" s="4056" t="s">
        <v>618</v>
      </c>
      <c r="AN225" s="1566" t="e">
        <f ca="1">STRCHECKDATE(V226:AL226)</f>
        <v>#NAME?</v>
      </c>
      <c r="AO225" s="1548"/>
      <c r="AP225" s="1548" t="str">
        <f t="shared" si="3"/>
        <v>вода</v>
      </c>
      <c r="AQ225" s="1548"/>
      <c r="AR225" s="1548"/>
      <c r="AS225" s="1559">
        <v>0</v>
      </c>
    </row>
    <row r="226" spans="1:45" s="1745" customFormat="1" ht="0.75" customHeight="1">
      <c r="A226" s="1287"/>
      <c r="B226" s="1287"/>
      <c r="C226" s="1287"/>
      <c r="D226" s="1287"/>
      <c r="E226" s="4034"/>
      <c r="F226" s="4034" t="s">
        <v>155</v>
      </c>
      <c r="G226" s="4034"/>
      <c r="H226" s="4034"/>
      <c r="I226" s="4036"/>
      <c r="J226" s="4036"/>
      <c r="K226" s="4035"/>
      <c r="L226" s="1293"/>
      <c r="M226" s="1290"/>
      <c r="N226" s="1290"/>
      <c r="O226" s="1290"/>
      <c r="P226" s="4037"/>
      <c r="Q226" s="4037"/>
      <c r="R226" s="291"/>
      <c r="S226" s="1978"/>
      <c r="T226" s="235"/>
      <c r="U226" s="235"/>
      <c r="V226" s="260"/>
      <c r="W226" s="260"/>
      <c r="X226" s="260"/>
      <c r="Y226" s="263" t="str">
        <f>Z225&amp;"-"&amp;AB225</f>
        <v>-</v>
      </c>
      <c r="Z226" s="4039"/>
      <c r="AA226" s="3899"/>
      <c r="AB226" s="4039"/>
      <c r="AC226" s="3899"/>
      <c r="AD226" s="260"/>
      <c r="AE226" s="260"/>
      <c r="AF226" s="260"/>
      <c r="AG226" s="263" t="str">
        <f>AH225&amp;"-"&amp;AJ225</f>
        <v>46023,389537037-46387,3897106481</v>
      </c>
      <c r="AH226" s="4039"/>
      <c r="AI226" s="3899"/>
      <c r="AJ226" s="4039"/>
      <c r="AK226" s="3899"/>
      <c r="AL226" s="260"/>
      <c r="AM226" s="4057"/>
      <c r="AN226" s="1566"/>
      <c r="AO226" s="1548"/>
      <c r="AP226" s="1548" t="str">
        <f t="shared" si="3"/>
        <v/>
      </c>
      <c r="AQ226" s="1548"/>
      <c r="AR226" s="1548"/>
      <c r="AS226" s="1559">
        <v>0</v>
      </c>
    </row>
    <row r="227" spans="1:45" s="1745" customFormat="1" ht="15" customHeight="1">
      <c r="A227" s="1287"/>
      <c r="B227" s="1287"/>
      <c r="C227" s="1287"/>
      <c r="D227" s="1287"/>
      <c r="E227" s="4034"/>
      <c r="F227" s="4034" t="s">
        <v>155</v>
      </c>
      <c r="G227" s="4034"/>
      <c r="H227" s="4034"/>
      <c r="I227" s="4036"/>
      <c r="J227" s="4035"/>
      <c r="K227" s="1287"/>
      <c r="L227" s="1293"/>
      <c r="M227" s="1290"/>
      <c r="N227" s="1290"/>
      <c r="O227" s="1672"/>
      <c r="P227" s="4037"/>
      <c r="Q227" s="4037"/>
      <c r="R227" s="290"/>
      <c r="S227" s="3413"/>
      <c r="T227" s="3414" t="s">
        <v>619</v>
      </c>
      <c r="U227" s="3415"/>
      <c r="V227" s="3416"/>
      <c r="W227" s="3417"/>
      <c r="X227" s="3418"/>
      <c r="Y227" s="3419"/>
      <c r="Z227" s="3420"/>
      <c r="AA227" s="3421"/>
      <c r="AB227" s="3422"/>
      <c r="AC227" s="3423"/>
      <c r="AD227" s="3424"/>
      <c r="AE227" s="3425"/>
      <c r="AF227" s="3426"/>
      <c r="AG227" s="3427"/>
      <c r="AH227" s="3428"/>
      <c r="AI227" s="3429"/>
      <c r="AJ227" s="3430"/>
      <c r="AK227" s="3431"/>
      <c r="AL227" s="3432"/>
      <c r="AM227" s="4058"/>
      <c r="AN227" s="1566"/>
      <c r="AO227" s="1548"/>
      <c r="AP227" s="1548" t="str">
        <f t="shared" si="3"/>
        <v>Добавить вид теплоносителя (параметры теплоносителя)</v>
      </c>
      <c r="AQ227" s="1548"/>
      <c r="AR227" s="1548"/>
      <c r="AS227" s="1559">
        <v>0</v>
      </c>
    </row>
    <row r="228" spans="1:45" s="1745" customFormat="1" ht="15" customHeight="1">
      <c r="A228" s="1287"/>
      <c r="B228" s="1287"/>
      <c r="C228" s="1287"/>
      <c r="D228" s="1287"/>
      <c r="E228" s="4034"/>
      <c r="F228" s="4034" t="s">
        <v>155</v>
      </c>
      <c r="G228" s="4034"/>
      <c r="H228" s="4034"/>
      <c r="I228" s="4035"/>
      <c r="J228" s="1287"/>
      <c r="K228" s="1287"/>
      <c r="L228" s="1293"/>
      <c r="M228" s="1290"/>
      <c r="N228" s="1672"/>
      <c r="O228" s="1672"/>
      <c r="P228" s="4037"/>
      <c r="Q228" s="1974"/>
      <c r="R228" s="290"/>
      <c r="S228" s="3433"/>
      <c r="T228" s="3434" t="s">
        <v>620</v>
      </c>
      <c r="U228" s="3435"/>
      <c r="V228" s="3436"/>
      <c r="W228" s="3437"/>
      <c r="X228" s="3438"/>
      <c r="Y228" s="3439"/>
      <c r="Z228" s="3440"/>
      <c r="AA228" s="3441"/>
      <c r="AB228" s="3442"/>
      <c r="AC228" s="3443"/>
      <c r="AD228" s="3444"/>
      <c r="AE228" s="3445"/>
      <c r="AF228" s="3446"/>
      <c r="AG228" s="3447"/>
      <c r="AH228" s="3448"/>
      <c r="AI228" s="3449"/>
      <c r="AJ228" s="3450"/>
      <c r="AK228" s="3451"/>
      <c r="AL228" s="3452"/>
      <c r="AM228" s="3453"/>
      <c r="AN228" s="1566"/>
      <c r="AO228" s="1548"/>
      <c r="AP228" s="1548" t="str">
        <f t="shared" si="3"/>
        <v>Добавить группу потребителей</v>
      </c>
      <c r="AQ228" s="1548"/>
      <c r="AR228" s="1548"/>
      <c r="AS228" s="1559">
        <v>0</v>
      </c>
    </row>
    <row r="229" spans="1:45" s="1745" customFormat="1" ht="14.25" customHeight="1">
      <c r="A229" s="1287"/>
      <c r="B229" s="1287"/>
      <c r="C229" s="1287"/>
      <c r="D229" s="1287"/>
      <c r="E229" s="4034"/>
      <c r="F229" s="4034" t="s">
        <v>155</v>
      </c>
      <c r="G229" s="4034"/>
      <c r="H229" s="4033"/>
      <c r="I229" s="1287"/>
      <c r="J229" s="1287"/>
      <c r="K229" s="1287"/>
      <c r="L229" s="1293"/>
      <c r="M229" s="1289"/>
      <c r="N229" s="1289"/>
      <c r="O229" s="1290"/>
      <c r="P229" s="1718"/>
      <c r="Q229" s="309"/>
      <c r="R229" s="289"/>
      <c r="S229" s="1310"/>
      <c r="T229" s="1311"/>
      <c r="U229" s="1312"/>
      <c r="V229" s="1312"/>
      <c r="W229" s="1312"/>
      <c r="X229" s="1312"/>
      <c r="Y229" s="1312"/>
      <c r="Z229" s="1312"/>
      <c r="AA229" s="1312"/>
      <c r="AB229" s="1312"/>
      <c r="AC229" s="1312"/>
      <c r="AD229" s="1312"/>
      <c r="AE229" s="1312"/>
      <c r="AF229" s="1312"/>
      <c r="AG229" s="1312"/>
      <c r="AH229" s="1312"/>
      <c r="AI229" s="1312"/>
      <c r="AJ229" s="1312"/>
      <c r="AK229" s="1312"/>
      <c r="AL229" s="1312"/>
      <c r="AM229" s="1313"/>
      <c r="AN229" s="1566"/>
      <c r="AO229" s="1548"/>
      <c r="AP229" s="1548" t="str">
        <f t="shared" si="3"/>
        <v/>
      </c>
      <c r="AQ229" s="1548"/>
      <c r="AR229" s="1548"/>
      <c r="AS229" s="1559">
        <v>0</v>
      </c>
    </row>
    <row r="230" spans="1:45" s="556" customFormat="1" ht="0.75" customHeight="1">
      <c r="A230" s="1267"/>
      <c r="B230" s="1267"/>
      <c r="C230" s="1267"/>
      <c r="D230" s="1267"/>
      <c r="E230" s="4034"/>
      <c r="F230" s="4034" t="s">
        <v>155</v>
      </c>
      <c r="G230" s="4033"/>
      <c r="H230" s="1267"/>
      <c r="I230" s="1267"/>
      <c r="J230" s="1267"/>
      <c r="K230" s="1267"/>
      <c r="L230" s="1469"/>
      <c r="M230" s="1239"/>
      <c r="N230" s="1239"/>
      <c r="O230" s="1566"/>
      <c r="P230" s="1240"/>
      <c r="Q230" s="1268"/>
      <c r="R230" s="1240"/>
      <c r="S230" s="1242"/>
      <c r="T230" s="1243" t="s">
        <v>235</v>
      </c>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566"/>
      <c r="AO230" s="1548"/>
      <c r="AP230" s="1548" t="str">
        <f t="shared" si="3"/>
        <v>Добавить источник для дифференциации</v>
      </c>
      <c r="AQ230" s="1548"/>
      <c r="AR230" s="1548"/>
      <c r="AS230" s="1566">
        <v>0</v>
      </c>
    </row>
    <row r="231" spans="1:45" s="556" customFormat="1" ht="0.75" customHeight="1">
      <c r="A231" s="1267"/>
      <c r="B231" s="1267"/>
      <c r="C231" s="1267"/>
      <c r="D231" s="1267"/>
      <c r="E231" s="4034"/>
      <c r="F231" s="4033" t="s">
        <v>155</v>
      </c>
      <c r="G231" s="1267"/>
      <c r="H231" s="1267"/>
      <c r="I231" s="1267"/>
      <c r="J231" s="1267"/>
      <c r="K231" s="1267"/>
      <c r="L231" s="1469"/>
      <c r="M231" s="1245"/>
      <c r="N231" s="1245"/>
      <c r="O231" s="1566"/>
      <c r="P231" s="1240"/>
      <c r="Q231" s="1268"/>
      <c r="R231" s="1240"/>
      <c r="S231" s="1246"/>
      <c r="T231" s="1247" t="s">
        <v>236</v>
      </c>
      <c r="U231" s="1248"/>
      <c r="V231" s="1248"/>
      <c r="W231" s="1248"/>
      <c r="X231" s="1248"/>
      <c r="Y231" s="1248"/>
      <c r="Z231" s="1248"/>
      <c r="AA231" s="1248"/>
      <c r="AB231" s="1248"/>
      <c r="AC231" s="1248"/>
      <c r="AD231" s="1248"/>
      <c r="AE231" s="1248"/>
      <c r="AF231" s="1248"/>
      <c r="AG231" s="1248"/>
      <c r="AH231" s="1248"/>
      <c r="AI231" s="1248"/>
      <c r="AJ231" s="1248"/>
      <c r="AK231" s="1248"/>
      <c r="AL231" s="1248"/>
      <c r="AM231" s="1248"/>
      <c r="AN231" s="1566"/>
      <c r="AO231" s="1548"/>
      <c r="AP231" s="1548" t="str">
        <f t="shared" si="3"/>
        <v>Добавить централизованную систему для дифференциации</v>
      </c>
      <c r="AQ231" s="1548"/>
      <c r="AR231" s="1548"/>
      <c r="AS231" s="1566">
        <v>0</v>
      </c>
    </row>
    <row r="232" spans="1:45" s="1745" customFormat="1" ht="21" customHeight="1">
      <c r="A232" s="1287"/>
      <c r="B232" s="1287" t="s">
        <v>354</v>
      </c>
      <c r="C232" s="1287"/>
      <c r="D232" s="1287"/>
      <c r="E232" s="4034"/>
      <c r="F232" s="4033" t="s">
        <v>159</v>
      </c>
      <c r="G232" s="1287"/>
      <c r="H232" s="1287"/>
      <c r="I232" s="1287"/>
      <c r="J232" s="1287"/>
      <c r="K232" s="1287"/>
      <c r="L232" s="1293"/>
      <c r="M232" s="1289"/>
      <c r="N232" s="1289"/>
      <c r="O232" s="1289"/>
      <c r="P232" s="1970"/>
      <c r="Q232" s="286"/>
      <c r="R232" s="287"/>
      <c r="S232" s="1972" t="str">
        <f>INDEX(PT_DIFFERENTIATION_NUM_TER,MATCH(B232,PT_DIFFERENTIATION_TER_ID,0))</f>
        <v>1.15</v>
      </c>
      <c r="T232" s="1446" t="s">
        <v>605</v>
      </c>
      <c r="U232" s="235"/>
      <c r="V232" s="4027"/>
      <c r="W232" s="4028"/>
      <c r="X232" s="4028"/>
      <c r="Y232" s="4028"/>
      <c r="Z232" s="4028"/>
      <c r="AA232" s="4028"/>
      <c r="AB232" s="4028"/>
      <c r="AC232" s="4029"/>
      <c r="AD232" s="4027" t="str">
        <f>INDEX(PT_DIFFERENTIATION_TER,MATCH(B232,PT_DIFFERENTIATION_TER_ID,0))</f>
        <v>Территория 8</v>
      </c>
      <c r="AE232" s="4028"/>
      <c r="AF232" s="4028"/>
      <c r="AG232" s="4028"/>
      <c r="AH232" s="4028"/>
      <c r="AI232" s="4028"/>
      <c r="AJ232" s="4028"/>
      <c r="AK232" s="4028"/>
      <c r="AL232" s="4029"/>
      <c r="AM232" s="1182" t="s">
        <v>606</v>
      </c>
      <c r="AN232" s="1566"/>
      <c r="AO232" s="1548"/>
      <c r="AP232" s="1548" t="str">
        <f t="shared" si="3"/>
        <v>Территория действия тарифа</v>
      </c>
      <c r="AQ232" s="1548"/>
      <c r="AR232" s="1548"/>
      <c r="AS232" s="1559">
        <v>0</v>
      </c>
    </row>
    <row r="233" spans="1:45" s="1745" customFormat="1" ht="23.25" customHeight="1">
      <c r="A233" s="1287"/>
      <c r="B233" s="1287"/>
      <c r="C233" s="1287" t="s">
        <v>355</v>
      </c>
      <c r="D233" s="1287"/>
      <c r="E233" s="4034"/>
      <c r="F233" s="4034" t="s">
        <v>157</v>
      </c>
      <c r="G233" s="4033">
        <v>1</v>
      </c>
      <c r="H233" s="1287"/>
      <c r="I233" s="1287"/>
      <c r="J233" s="1287"/>
      <c r="K233" s="1287"/>
      <c r="L233" s="1293"/>
      <c r="M233" s="1289"/>
      <c r="N233" s="1289"/>
      <c r="O233" s="1289"/>
      <c r="P233" s="288"/>
      <c r="Q233" s="286"/>
      <c r="R233" s="287"/>
      <c r="S233" s="1972" t="str">
        <f>INDEX(PT_DIFFERENTIATION_NUM_CS,MATCH(C233,PT_DIFFERENTIATION_CS_ID,0))</f>
        <v>1.15.1</v>
      </c>
      <c r="T233" s="244" t="s">
        <v>607</v>
      </c>
      <c r="U233" s="235"/>
      <c r="V233" s="4027"/>
      <c r="W233" s="4028"/>
      <c r="X233" s="4028"/>
      <c r="Y233" s="4028"/>
      <c r="Z233" s="4028"/>
      <c r="AA233" s="4028"/>
      <c r="AB233" s="4028"/>
      <c r="AC233" s="4029"/>
      <c r="AD233" s="4027" t="str">
        <f>INDEX(PT_DIFFERENTIATION_CS,MATCH(C233,PT_DIFFERENTIATION_CS_ID,0))</f>
        <v>Холм-Жирковский ТУ</v>
      </c>
      <c r="AE233" s="4028"/>
      <c r="AF233" s="4028"/>
      <c r="AG233" s="4028"/>
      <c r="AH233" s="4028"/>
      <c r="AI233" s="4028"/>
      <c r="AJ233" s="4028"/>
      <c r="AK233" s="4028"/>
      <c r="AL233" s="4029"/>
      <c r="AM233" s="1182" t="s">
        <v>608</v>
      </c>
      <c r="AN233" s="1566"/>
      <c r="AO233" s="1548"/>
      <c r="AP233" s="1548" t="str">
        <f t="shared" si="3"/>
        <v xml:space="preserve">Наименование системы теплоснабжения </v>
      </c>
      <c r="AQ233" s="1548"/>
      <c r="AR233" s="1548"/>
      <c r="AS233" s="1559">
        <v>0</v>
      </c>
    </row>
    <row r="234" spans="1:45" s="1745" customFormat="1" ht="21" customHeight="1">
      <c r="A234" s="1287"/>
      <c r="B234" s="1287"/>
      <c r="C234" s="1287"/>
      <c r="D234" s="1287" t="s">
        <v>356</v>
      </c>
      <c r="E234" s="4034"/>
      <c r="F234" s="4034" t="s">
        <v>157</v>
      </c>
      <c r="G234" s="4034"/>
      <c r="H234" s="4033">
        <v>1</v>
      </c>
      <c r="I234" s="1287"/>
      <c r="J234" s="1287"/>
      <c r="K234" s="1287"/>
      <c r="L234" s="1293"/>
      <c r="M234" s="1289"/>
      <c r="N234" s="1289"/>
      <c r="O234" s="1289"/>
      <c r="P234" s="288"/>
      <c r="Q234" s="286"/>
      <c r="R234" s="287"/>
      <c r="S234" s="1972" t="str">
        <f>INDEX(PT_DIFFERENTIATION_NUM_IST_TE,MATCH(D234,PT_DIFFERENTIATION_IST_TE_ID,0))</f>
        <v>1.15.1.1</v>
      </c>
      <c r="T234" s="245" t="s">
        <v>609</v>
      </c>
      <c r="U234" s="235"/>
      <c r="V234" s="4027"/>
      <c r="W234" s="4028"/>
      <c r="X234" s="4028"/>
      <c r="Y234" s="4028"/>
      <c r="Z234" s="4028"/>
      <c r="AA234" s="4028"/>
      <c r="AB234" s="4028"/>
      <c r="AC234" s="4029"/>
      <c r="AD234" s="4027" t="str">
        <f>INDEX(PT_DIFFERENTIATION_IST_TE,MATCH(D234,PT_DIFFERENTIATION_IST_TE_ID,0))</f>
        <v>без дифференциации</v>
      </c>
      <c r="AE234" s="4028"/>
      <c r="AF234" s="4028"/>
      <c r="AG234" s="4028"/>
      <c r="AH234" s="4028"/>
      <c r="AI234" s="4028"/>
      <c r="AJ234" s="4028"/>
      <c r="AK234" s="4028"/>
      <c r="AL234" s="4029"/>
      <c r="AM234" s="1182" t="s">
        <v>610</v>
      </c>
      <c r="AN234" s="1566"/>
      <c r="AO234" s="1548"/>
      <c r="AP234" s="1548" t="str">
        <f t="shared" si="3"/>
        <v xml:space="preserve">Источник тепловой энергии  </v>
      </c>
      <c r="AQ234" s="1548"/>
      <c r="AR234" s="1548"/>
      <c r="AS234" s="1559">
        <v>0</v>
      </c>
    </row>
    <row r="235" spans="1:45" s="1745" customFormat="1" ht="14.25" customHeight="1">
      <c r="A235" s="1287"/>
      <c r="B235" s="1287"/>
      <c r="C235" s="1287"/>
      <c r="D235" s="1287"/>
      <c r="E235" s="4034"/>
      <c r="F235" s="4034" t="s">
        <v>157</v>
      </c>
      <c r="G235" s="4034"/>
      <c r="H235" s="4034"/>
      <c r="I235" s="4035" t="str">
        <f>S234&amp;".1"</f>
        <v>1.15.1.1.1</v>
      </c>
      <c r="J235" s="1287"/>
      <c r="K235" s="1287"/>
      <c r="L235" s="1293" t="s">
        <v>611</v>
      </c>
      <c r="M235" s="1290"/>
      <c r="N235" s="1672"/>
      <c r="O235" s="1672"/>
      <c r="P235" s="4037">
        <v>1</v>
      </c>
      <c r="Q235" s="1974"/>
      <c r="R235" s="290"/>
      <c r="S235" s="1973"/>
      <c r="T235" s="1307"/>
      <c r="U235" s="1308"/>
      <c r="V235" s="4064"/>
      <c r="W235" s="4065"/>
      <c r="X235" s="4065"/>
      <c r="Y235" s="4065"/>
      <c r="Z235" s="4065"/>
      <c r="AA235" s="4065"/>
      <c r="AB235" s="4065"/>
      <c r="AC235" s="4066"/>
      <c r="AD235" s="4064"/>
      <c r="AE235" s="4065"/>
      <c r="AF235" s="4065"/>
      <c r="AG235" s="4065"/>
      <c r="AH235" s="4065"/>
      <c r="AI235" s="4065"/>
      <c r="AJ235" s="4065"/>
      <c r="AK235" s="4065"/>
      <c r="AL235" s="4066"/>
      <c r="AM235" s="1309"/>
      <c r="AN235" s="1566"/>
      <c r="AO235" s="1548"/>
      <c r="AP235" s="1548" t="str">
        <f t="shared" ref="AP235:AP298" si="4">IF(T235="","",T235)</f>
        <v/>
      </c>
      <c r="AQ235" s="1548"/>
      <c r="AR235" s="1548"/>
      <c r="AS235" s="1559">
        <v>0</v>
      </c>
    </row>
    <row r="236" spans="1:45" s="1745" customFormat="1" ht="21" customHeight="1">
      <c r="A236" s="1287"/>
      <c r="B236" s="1287"/>
      <c r="C236" s="1287"/>
      <c r="D236" s="1287"/>
      <c r="E236" s="4034"/>
      <c r="F236" s="4034" t="s">
        <v>157</v>
      </c>
      <c r="G236" s="4034"/>
      <c r="H236" s="4034"/>
      <c r="I236" s="4036"/>
      <c r="J236" s="4035" t="str">
        <f>I235&amp;".1"</f>
        <v>1.15.1.1.1.1</v>
      </c>
      <c r="K236" s="1287"/>
      <c r="L236" s="1293" t="s">
        <v>614</v>
      </c>
      <c r="M236" s="1290"/>
      <c r="N236" s="1290"/>
      <c r="O236" s="1672"/>
      <c r="P236" s="4037"/>
      <c r="Q236" s="4037">
        <v>1</v>
      </c>
      <c r="R236" s="291"/>
      <c r="S236" s="1972" t="str">
        <f>$J236</f>
        <v>1.15.1.1.1.1</v>
      </c>
      <c r="T236" s="221" t="s">
        <v>615</v>
      </c>
      <c r="U236" s="235"/>
      <c r="V236" s="4021"/>
      <c r="W236" s="4022"/>
      <c r="X236" s="4022"/>
      <c r="Y236" s="4022"/>
      <c r="Z236" s="4022"/>
      <c r="AA236" s="4022"/>
      <c r="AB236" s="4022"/>
      <c r="AC236" s="4023"/>
      <c r="AD236" s="4021" t="s">
        <v>654</v>
      </c>
      <c r="AE236" s="4022"/>
      <c r="AF236" s="4022"/>
      <c r="AG236" s="4022"/>
      <c r="AH236" s="4022"/>
      <c r="AI236" s="4022"/>
      <c r="AJ236" s="4022"/>
      <c r="AK236" s="4022"/>
      <c r="AL236" s="4023"/>
      <c r="AM236" s="1182" t="s">
        <v>616</v>
      </c>
      <c r="AN236" s="1566"/>
      <c r="AO236" s="1548"/>
      <c r="AP236" s="1548" t="str">
        <f t="shared" si="4"/>
        <v>Группа потребителей</v>
      </c>
      <c r="AQ236" s="1548"/>
      <c r="AR236" s="1548"/>
      <c r="AS236" s="1559">
        <v>0</v>
      </c>
    </row>
    <row r="237" spans="1:45" s="1745" customFormat="1" ht="21" customHeight="1">
      <c r="A237" s="1287"/>
      <c r="B237" s="1287"/>
      <c r="C237" s="1287"/>
      <c r="D237" s="1287"/>
      <c r="E237" s="4034"/>
      <c r="F237" s="4034" t="s">
        <v>157</v>
      </c>
      <c r="G237" s="4034"/>
      <c r="H237" s="4034"/>
      <c r="I237" s="4036"/>
      <c r="J237" s="4036"/>
      <c r="K237" s="4035" t="str">
        <f>J236&amp;".1"</f>
        <v>1.15.1.1.1.1.1</v>
      </c>
      <c r="L237" s="1293" t="s">
        <v>617</v>
      </c>
      <c r="M237" s="1290"/>
      <c r="N237" s="1290"/>
      <c r="O237" s="1290"/>
      <c r="P237" s="4037"/>
      <c r="Q237" s="4037"/>
      <c r="R237" s="291">
        <v>1</v>
      </c>
      <c r="S237" s="1972" t="str">
        <f>$K237</f>
        <v>1.15.1.1.1.1.1</v>
      </c>
      <c r="T237" s="1271" t="s">
        <v>656</v>
      </c>
      <c r="U237" s="235"/>
      <c r="V237" s="685"/>
      <c r="W237" s="260"/>
      <c r="X237" s="685"/>
      <c r="Y237" s="1181"/>
      <c r="Z237" s="4038"/>
      <c r="AA237" s="3899" t="s">
        <v>53</v>
      </c>
      <c r="AB237" s="4038"/>
      <c r="AC237" s="3899" t="s">
        <v>53</v>
      </c>
      <c r="AD237" s="685">
        <v>349.72</v>
      </c>
      <c r="AE237" s="260"/>
      <c r="AF237" s="685"/>
      <c r="AG237" s="1181"/>
      <c r="AH237" s="4038">
        <v>46023.394745370373</v>
      </c>
      <c r="AI237" s="3899" t="s">
        <v>53</v>
      </c>
      <c r="AJ237" s="4038">
        <v>46387.396412037036</v>
      </c>
      <c r="AK237" s="3899" t="s">
        <v>53</v>
      </c>
      <c r="AL237" s="260"/>
      <c r="AM237" s="4056" t="s">
        <v>618</v>
      </c>
      <c r="AN237" s="1566" t="e">
        <f ca="1">STRCHECKDATE(V238:AL238)</f>
        <v>#NAME?</v>
      </c>
      <c r="AO237" s="1548"/>
      <c r="AP237" s="1548" t="str">
        <f t="shared" si="4"/>
        <v>вода</v>
      </c>
      <c r="AQ237" s="1548"/>
      <c r="AR237" s="1548"/>
      <c r="AS237" s="1559">
        <v>0</v>
      </c>
    </row>
    <row r="238" spans="1:45" s="1745" customFormat="1" ht="0.75" customHeight="1">
      <c r="A238" s="1287"/>
      <c r="B238" s="1287"/>
      <c r="C238" s="1287"/>
      <c r="D238" s="1287"/>
      <c r="E238" s="4034"/>
      <c r="F238" s="4034" t="s">
        <v>157</v>
      </c>
      <c r="G238" s="4034"/>
      <c r="H238" s="4034"/>
      <c r="I238" s="4036"/>
      <c r="J238" s="4036"/>
      <c r="K238" s="4035"/>
      <c r="L238" s="1293"/>
      <c r="M238" s="1290"/>
      <c r="N238" s="1290"/>
      <c r="O238" s="1290"/>
      <c r="P238" s="4037"/>
      <c r="Q238" s="4037"/>
      <c r="R238" s="291"/>
      <c r="S238" s="1978"/>
      <c r="T238" s="235"/>
      <c r="U238" s="235"/>
      <c r="V238" s="260"/>
      <c r="W238" s="260"/>
      <c r="X238" s="260"/>
      <c r="Y238" s="263" t="str">
        <f>Z237&amp;"-"&amp;AB237</f>
        <v>-</v>
      </c>
      <c r="Z238" s="4039"/>
      <c r="AA238" s="3899"/>
      <c r="AB238" s="4039"/>
      <c r="AC238" s="3899"/>
      <c r="AD238" s="260"/>
      <c r="AE238" s="260"/>
      <c r="AF238" s="260"/>
      <c r="AG238" s="263" t="str">
        <f>AH237&amp;"-"&amp;AJ237</f>
        <v>46023,3947453703-46387,396412037</v>
      </c>
      <c r="AH238" s="4039"/>
      <c r="AI238" s="3899"/>
      <c r="AJ238" s="4039"/>
      <c r="AK238" s="3899"/>
      <c r="AL238" s="260"/>
      <c r="AM238" s="4057"/>
      <c r="AN238" s="1566"/>
      <c r="AO238" s="1548"/>
      <c r="AP238" s="1548" t="str">
        <f t="shared" si="4"/>
        <v/>
      </c>
      <c r="AQ238" s="1548"/>
      <c r="AR238" s="1548"/>
      <c r="AS238" s="1559">
        <v>0</v>
      </c>
    </row>
    <row r="239" spans="1:45" s="1745" customFormat="1" ht="15" customHeight="1">
      <c r="A239" s="1287"/>
      <c r="B239" s="1287"/>
      <c r="C239" s="1287"/>
      <c r="D239" s="1287"/>
      <c r="E239" s="4034"/>
      <c r="F239" s="4034" t="s">
        <v>157</v>
      </c>
      <c r="G239" s="4034"/>
      <c r="H239" s="4034"/>
      <c r="I239" s="4036"/>
      <c r="J239" s="4035"/>
      <c r="K239" s="1287"/>
      <c r="L239" s="1293"/>
      <c r="M239" s="1290"/>
      <c r="N239" s="1290"/>
      <c r="O239" s="1672"/>
      <c r="P239" s="4037"/>
      <c r="Q239" s="4037"/>
      <c r="R239" s="290"/>
      <c r="S239" s="3454"/>
      <c r="T239" s="3455" t="s">
        <v>619</v>
      </c>
      <c r="U239" s="3456"/>
      <c r="V239" s="3457"/>
      <c r="W239" s="3458"/>
      <c r="X239" s="3459"/>
      <c r="Y239" s="3460"/>
      <c r="Z239" s="3461"/>
      <c r="AA239" s="3462"/>
      <c r="AB239" s="3463"/>
      <c r="AC239" s="3464"/>
      <c r="AD239" s="3465"/>
      <c r="AE239" s="3466"/>
      <c r="AF239" s="3467"/>
      <c r="AG239" s="3468"/>
      <c r="AH239" s="3469"/>
      <c r="AI239" s="3470"/>
      <c r="AJ239" s="3471"/>
      <c r="AK239" s="3472"/>
      <c r="AL239" s="3473"/>
      <c r="AM239" s="4058"/>
      <c r="AN239" s="1566"/>
      <c r="AO239" s="1548"/>
      <c r="AP239" s="1548" t="str">
        <f t="shared" si="4"/>
        <v>Добавить вид теплоносителя (параметры теплоносителя)</v>
      </c>
      <c r="AQ239" s="1548"/>
      <c r="AR239" s="1548"/>
      <c r="AS239" s="1559">
        <v>0</v>
      </c>
    </row>
    <row r="240" spans="1:45" s="1745" customFormat="1" ht="15" customHeight="1">
      <c r="A240" s="1287"/>
      <c r="B240" s="1287"/>
      <c r="C240" s="1287"/>
      <c r="D240" s="1287"/>
      <c r="E240" s="4034"/>
      <c r="F240" s="4034" t="s">
        <v>157</v>
      </c>
      <c r="G240" s="4034"/>
      <c r="H240" s="4034"/>
      <c r="I240" s="4035"/>
      <c r="J240" s="1287"/>
      <c r="K240" s="1287"/>
      <c r="L240" s="1293"/>
      <c r="M240" s="1290"/>
      <c r="N240" s="1672"/>
      <c r="O240" s="1672"/>
      <c r="P240" s="4037"/>
      <c r="Q240" s="1974"/>
      <c r="R240" s="290"/>
      <c r="S240" s="3474"/>
      <c r="T240" s="3475" t="s">
        <v>620</v>
      </c>
      <c r="U240" s="3476"/>
      <c r="V240" s="3477"/>
      <c r="W240" s="3478"/>
      <c r="X240" s="3479"/>
      <c r="Y240" s="3480"/>
      <c r="Z240" s="3481"/>
      <c r="AA240" s="3482"/>
      <c r="AB240" s="3483"/>
      <c r="AC240" s="3484"/>
      <c r="AD240" s="3485"/>
      <c r="AE240" s="3486"/>
      <c r="AF240" s="3487"/>
      <c r="AG240" s="3488"/>
      <c r="AH240" s="3489"/>
      <c r="AI240" s="3490"/>
      <c r="AJ240" s="3491"/>
      <c r="AK240" s="3492"/>
      <c r="AL240" s="3493"/>
      <c r="AM240" s="3494"/>
      <c r="AN240" s="1566"/>
      <c r="AO240" s="1548"/>
      <c r="AP240" s="1548" t="str">
        <f t="shared" si="4"/>
        <v>Добавить группу потребителей</v>
      </c>
      <c r="AQ240" s="1548"/>
      <c r="AR240" s="1548"/>
      <c r="AS240" s="1559">
        <v>0</v>
      </c>
    </row>
    <row r="241" spans="1:45" s="1745" customFormat="1" ht="14.25" customHeight="1">
      <c r="A241" s="1287"/>
      <c r="B241" s="1287"/>
      <c r="C241" s="1287"/>
      <c r="D241" s="1287"/>
      <c r="E241" s="4034"/>
      <c r="F241" s="4034" t="s">
        <v>157</v>
      </c>
      <c r="G241" s="4034"/>
      <c r="H241" s="4033"/>
      <c r="I241" s="1287"/>
      <c r="J241" s="1287"/>
      <c r="K241" s="1287"/>
      <c r="L241" s="1293"/>
      <c r="M241" s="1289"/>
      <c r="N241" s="1289"/>
      <c r="O241" s="1290"/>
      <c r="P241" s="1718"/>
      <c r="Q241" s="309"/>
      <c r="R241" s="289"/>
      <c r="S241" s="1310"/>
      <c r="T241" s="1311"/>
      <c r="U241" s="1312"/>
      <c r="V241" s="1312"/>
      <c r="W241" s="1312"/>
      <c r="X241" s="1312"/>
      <c r="Y241" s="1312"/>
      <c r="Z241" s="1312"/>
      <c r="AA241" s="1312"/>
      <c r="AB241" s="1312"/>
      <c r="AC241" s="1312"/>
      <c r="AD241" s="1312"/>
      <c r="AE241" s="1312"/>
      <c r="AF241" s="1312"/>
      <c r="AG241" s="1312"/>
      <c r="AH241" s="1312"/>
      <c r="AI241" s="1312"/>
      <c r="AJ241" s="1312"/>
      <c r="AK241" s="1312"/>
      <c r="AL241" s="1312"/>
      <c r="AM241" s="1313"/>
      <c r="AN241" s="1566"/>
      <c r="AO241" s="1548"/>
      <c r="AP241" s="1548" t="str">
        <f t="shared" si="4"/>
        <v/>
      </c>
      <c r="AQ241" s="1548"/>
      <c r="AR241" s="1548"/>
      <c r="AS241" s="1559">
        <v>0</v>
      </c>
    </row>
    <row r="242" spans="1:45" s="556" customFormat="1" ht="0.75" customHeight="1">
      <c r="A242" s="1267"/>
      <c r="B242" s="1267"/>
      <c r="C242" s="1267"/>
      <c r="D242" s="1267"/>
      <c r="E242" s="4034"/>
      <c r="F242" s="4034" t="s">
        <v>157</v>
      </c>
      <c r="G242" s="4033"/>
      <c r="H242" s="1267"/>
      <c r="I242" s="1267"/>
      <c r="J242" s="1267"/>
      <c r="K242" s="1267"/>
      <c r="L242" s="1469"/>
      <c r="M242" s="1239"/>
      <c r="N242" s="1239"/>
      <c r="O242" s="1566"/>
      <c r="P242" s="1240"/>
      <c r="Q242" s="1268"/>
      <c r="R242" s="1240"/>
      <c r="S242" s="1242"/>
      <c r="T242" s="1243" t="s">
        <v>235</v>
      </c>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566"/>
      <c r="AO242" s="1548"/>
      <c r="AP242" s="1548" t="str">
        <f t="shared" si="4"/>
        <v>Добавить источник для дифференциации</v>
      </c>
      <c r="AQ242" s="1548"/>
      <c r="AR242" s="1548"/>
      <c r="AS242" s="1566">
        <v>0</v>
      </c>
    </row>
    <row r="243" spans="1:45" s="1745" customFormat="1" ht="23.25" customHeight="1">
      <c r="A243" s="1287"/>
      <c r="B243" s="1287"/>
      <c r="C243" s="1287" t="s">
        <v>358</v>
      </c>
      <c r="D243" s="1287"/>
      <c r="E243" s="4034"/>
      <c r="F243" s="4034"/>
      <c r="G243" s="4033" t="s">
        <v>89</v>
      </c>
      <c r="H243" s="1287"/>
      <c r="I243" s="1287"/>
      <c r="J243" s="1287"/>
      <c r="K243" s="1287"/>
      <c r="L243" s="1293"/>
      <c r="M243" s="1289"/>
      <c r="N243" s="1289"/>
      <c r="O243" s="1289"/>
      <c r="P243" s="288"/>
      <c r="Q243" s="286"/>
      <c r="R243" s="287"/>
      <c r="S243" s="1972" t="str">
        <f>INDEX(PT_DIFFERENTIATION_NUM_CS,MATCH(C243,PT_DIFFERENTIATION_CS_ID,0))</f>
        <v>1.15.2</v>
      </c>
      <c r="T243" s="244" t="s">
        <v>607</v>
      </c>
      <c r="U243" s="235"/>
      <c r="V243" s="4027"/>
      <c r="W243" s="4028"/>
      <c r="X243" s="4028"/>
      <c r="Y243" s="4028"/>
      <c r="Z243" s="4028"/>
      <c r="AA243" s="4028"/>
      <c r="AB243" s="4028"/>
      <c r="AC243" s="4029"/>
      <c r="AD243" s="4027" t="str">
        <f>INDEX(PT_DIFFERENTIATION_CS,MATCH(C243,PT_DIFFERENTIATION_CS_ID,0))</f>
        <v>котельные п. Холм-Жирковский, ул. Кирова и ул. Советская</v>
      </c>
      <c r="AE243" s="4028"/>
      <c r="AF243" s="4028"/>
      <c r="AG243" s="4028"/>
      <c r="AH243" s="4028"/>
      <c r="AI243" s="4028"/>
      <c r="AJ243" s="4028"/>
      <c r="AK243" s="4028"/>
      <c r="AL243" s="4029"/>
      <c r="AM243" s="1182" t="s">
        <v>608</v>
      </c>
      <c r="AN243" s="1566"/>
      <c r="AO243" s="1548"/>
      <c r="AP243" s="1548" t="str">
        <f t="shared" si="4"/>
        <v xml:space="preserve">Наименование системы теплоснабжения </v>
      </c>
      <c r="AQ243" s="1548"/>
      <c r="AR243" s="1548"/>
      <c r="AS243" s="1559">
        <v>0</v>
      </c>
    </row>
    <row r="244" spans="1:45" s="1745" customFormat="1" ht="21" customHeight="1">
      <c r="A244" s="1287"/>
      <c r="B244" s="1287"/>
      <c r="C244" s="1287"/>
      <c r="D244" s="1287" t="s">
        <v>359</v>
      </c>
      <c r="E244" s="4034"/>
      <c r="F244" s="4034"/>
      <c r="G244" s="4034">
        <v>1</v>
      </c>
      <c r="H244" s="4033">
        <v>1</v>
      </c>
      <c r="I244" s="1287"/>
      <c r="J244" s="1287"/>
      <c r="K244" s="1287"/>
      <c r="L244" s="1293"/>
      <c r="M244" s="1289"/>
      <c r="N244" s="1289"/>
      <c r="O244" s="1289"/>
      <c r="P244" s="288"/>
      <c r="Q244" s="286"/>
      <c r="R244" s="287"/>
      <c r="S244" s="1972" t="str">
        <f>INDEX(PT_DIFFERENTIATION_NUM_IST_TE,MATCH(D244,PT_DIFFERENTIATION_IST_TE_ID,0))</f>
        <v>1.15.2.1</v>
      </c>
      <c r="T244" s="245" t="s">
        <v>609</v>
      </c>
      <c r="U244" s="235"/>
      <c r="V244" s="4027"/>
      <c r="W244" s="4028"/>
      <c r="X244" s="4028"/>
      <c r="Y244" s="4028"/>
      <c r="Z244" s="4028"/>
      <c r="AA244" s="4028"/>
      <c r="AB244" s="4028"/>
      <c r="AC244" s="4029"/>
      <c r="AD244" s="4027" t="str">
        <f>INDEX(PT_DIFFERENTIATION_IST_TE,MATCH(D244,PT_DIFFERENTIATION_IST_TE_ID,0))</f>
        <v>без дифференциации</v>
      </c>
      <c r="AE244" s="4028"/>
      <c r="AF244" s="4028"/>
      <c r="AG244" s="4028"/>
      <c r="AH244" s="4028"/>
      <c r="AI244" s="4028"/>
      <c r="AJ244" s="4028"/>
      <c r="AK244" s="4028"/>
      <c r="AL244" s="4029"/>
      <c r="AM244" s="1182" t="s">
        <v>610</v>
      </c>
      <c r="AN244" s="1566"/>
      <c r="AO244" s="1548"/>
      <c r="AP244" s="1548" t="str">
        <f t="shared" si="4"/>
        <v xml:space="preserve">Источник тепловой энергии  </v>
      </c>
      <c r="AQ244" s="1548"/>
      <c r="AR244" s="1548"/>
      <c r="AS244" s="1559">
        <v>0</v>
      </c>
    </row>
    <row r="245" spans="1:45" s="1745" customFormat="1" ht="14.25" customHeight="1">
      <c r="A245" s="1287"/>
      <c r="B245" s="1287"/>
      <c r="C245" s="1287"/>
      <c r="D245" s="1287"/>
      <c r="E245" s="4034"/>
      <c r="F245" s="4034"/>
      <c r="G245" s="4034">
        <v>1</v>
      </c>
      <c r="H245" s="4034"/>
      <c r="I245" s="4035" t="str">
        <f>S244&amp;".1"</f>
        <v>1.15.2.1.1</v>
      </c>
      <c r="J245" s="1287"/>
      <c r="K245" s="1287"/>
      <c r="L245" s="1293" t="s">
        <v>611</v>
      </c>
      <c r="M245" s="1290"/>
      <c r="N245" s="1672"/>
      <c r="O245" s="1672"/>
      <c r="P245" s="4037">
        <v>1</v>
      </c>
      <c r="Q245" s="1974"/>
      <c r="R245" s="290"/>
      <c r="S245" s="1973"/>
      <c r="T245" s="1307"/>
      <c r="U245" s="1308"/>
      <c r="V245" s="4064"/>
      <c r="W245" s="4065"/>
      <c r="X245" s="4065"/>
      <c r="Y245" s="4065"/>
      <c r="Z245" s="4065"/>
      <c r="AA245" s="4065"/>
      <c r="AB245" s="4065"/>
      <c r="AC245" s="4066"/>
      <c r="AD245" s="4064"/>
      <c r="AE245" s="4065"/>
      <c r="AF245" s="4065"/>
      <c r="AG245" s="4065"/>
      <c r="AH245" s="4065"/>
      <c r="AI245" s="4065"/>
      <c r="AJ245" s="4065"/>
      <c r="AK245" s="4065"/>
      <c r="AL245" s="4066"/>
      <c r="AM245" s="1309"/>
      <c r="AN245" s="1566"/>
      <c r="AO245" s="1548"/>
      <c r="AP245" s="1548" t="str">
        <f t="shared" si="4"/>
        <v/>
      </c>
      <c r="AQ245" s="1548"/>
      <c r="AR245" s="1548"/>
      <c r="AS245" s="1559">
        <v>0</v>
      </c>
    </row>
    <row r="246" spans="1:45" s="1745" customFormat="1" ht="21" customHeight="1">
      <c r="A246" s="1287"/>
      <c r="B246" s="1287"/>
      <c r="C246" s="1287"/>
      <c r="D246" s="1287"/>
      <c r="E246" s="4034"/>
      <c r="F246" s="4034"/>
      <c r="G246" s="4034">
        <v>1</v>
      </c>
      <c r="H246" s="4034"/>
      <c r="I246" s="4036"/>
      <c r="J246" s="4035" t="str">
        <f>I245&amp;".1"</f>
        <v>1.15.2.1.1.1</v>
      </c>
      <c r="K246" s="1287"/>
      <c r="L246" s="1293" t="s">
        <v>614</v>
      </c>
      <c r="M246" s="1290"/>
      <c r="N246" s="1290"/>
      <c r="O246" s="1672"/>
      <c r="P246" s="4037"/>
      <c r="Q246" s="4037">
        <v>1</v>
      </c>
      <c r="R246" s="291"/>
      <c r="S246" s="1972" t="str">
        <f>$J246</f>
        <v>1.15.2.1.1.1</v>
      </c>
      <c r="T246" s="221" t="s">
        <v>615</v>
      </c>
      <c r="U246" s="235"/>
      <c r="V246" s="4021"/>
      <c r="W246" s="4022"/>
      <c r="X246" s="4022"/>
      <c r="Y246" s="4022"/>
      <c r="Z246" s="4022"/>
      <c r="AA246" s="4022"/>
      <c r="AB246" s="4022"/>
      <c r="AC246" s="4023"/>
      <c r="AD246" s="4021" t="s">
        <v>654</v>
      </c>
      <c r="AE246" s="4022"/>
      <c r="AF246" s="4022"/>
      <c r="AG246" s="4022"/>
      <c r="AH246" s="4022"/>
      <c r="AI246" s="4022"/>
      <c r="AJ246" s="4022"/>
      <c r="AK246" s="4022"/>
      <c r="AL246" s="4023"/>
      <c r="AM246" s="1182" t="s">
        <v>616</v>
      </c>
      <c r="AN246" s="1566"/>
      <c r="AO246" s="1548"/>
      <c r="AP246" s="1548" t="str">
        <f t="shared" si="4"/>
        <v>Группа потребителей</v>
      </c>
      <c r="AQ246" s="1548"/>
      <c r="AR246" s="1548"/>
      <c r="AS246" s="1559">
        <v>0</v>
      </c>
    </row>
    <row r="247" spans="1:45" s="1745" customFormat="1" ht="21" customHeight="1">
      <c r="A247" s="1287"/>
      <c r="B247" s="1287"/>
      <c r="C247" s="1287"/>
      <c r="D247" s="1287"/>
      <c r="E247" s="4034"/>
      <c r="F247" s="4034"/>
      <c r="G247" s="4034">
        <v>1</v>
      </c>
      <c r="H247" s="4034"/>
      <c r="I247" s="4036"/>
      <c r="J247" s="4036"/>
      <c r="K247" s="4035" t="str">
        <f>J246&amp;".1"</f>
        <v>1.15.2.1.1.1.1</v>
      </c>
      <c r="L247" s="1293" t="s">
        <v>617</v>
      </c>
      <c r="M247" s="1290"/>
      <c r="N247" s="1290"/>
      <c r="O247" s="1290"/>
      <c r="P247" s="4037"/>
      <c r="Q247" s="4037"/>
      <c r="R247" s="291">
        <v>1</v>
      </c>
      <c r="S247" s="1972" t="str">
        <f>$K247</f>
        <v>1.15.2.1.1.1.1</v>
      </c>
      <c r="T247" s="1271" t="s">
        <v>656</v>
      </c>
      <c r="U247" s="235"/>
      <c r="V247" s="685"/>
      <c r="W247" s="260"/>
      <c r="X247" s="685"/>
      <c r="Y247" s="1181"/>
      <c r="Z247" s="4038"/>
      <c r="AA247" s="3899" t="s">
        <v>53</v>
      </c>
      <c r="AB247" s="4038"/>
      <c r="AC247" s="3899" t="s">
        <v>53</v>
      </c>
      <c r="AD247" s="685">
        <v>169.78</v>
      </c>
      <c r="AE247" s="260"/>
      <c r="AF247" s="685"/>
      <c r="AG247" s="1181"/>
      <c r="AH247" s="4038">
        <v>46023.42728009259</v>
      </c>
      <c r="AI247" s="3899" t="s">
        <v>53</v>
      </c>
      <c r="AJ247" s="4038">
        <v>46387.427395833336</v>
      </c>
      <c r="AK247" s="3899" t="s">
        <v>53</v>
      </c>
      <c r="AL247" s="260"/>
      <c r="AM247" s="4056" t="s">
        <v>618</v>
      </c>
      <c r="AN247" s="1566" t="e">
        <f ca="1">STRCHECKDATE(V248:AL248)</f>
        <v>#NAME?</v>
      </c>
      <c r="AO247" s="1548"/>
      <c r="AP247" s="1548" t="str">
        <f t="shared" si="4"/>
        <v>вода</v>
      </c>
      <c r="AQ247" s="1548"/>
      <c r="AR247" s="1548"/>
      <c r="AS247" s="1559">
        <v>0</v>
      </c>
    </row>
    <row r="248" spans="1:45" s="1745" customFormat="1" ht="0.75" customHeight="1">
      <c r="A248" s="1287"/>
      <c r="B248" s="1287"/>
      <c r="C248" s="1287"/>
      <c r="D248" s="1287"/>
      <c r="E248" s="4034"/>
      <c r="F248" s="4034"/>
      <c r="G248" s="4034">
        <v>1</v>
      </c>
      <c r="H248" s="4034"/>
      <c r="I248" s="4036"/>
      <c r="J248" s="4036"/>
      <c r="K248" s="4035"/>
      <c r="L248" s="1293"/>
      <c r="M248" s="1290"/>
      <c r="N248" s="1290"/>
      <c r="O248" s="1290"/>
      <c r="P248" s="4037"/>
      <c r="Q248" s="4037"/>
      <c r="R248" s="291"/>
      <c r="S248" s="1978"/>
      <c r="T248" s="235"/>
      <c r="U248" s="235"/>
      <c r="V248" s="260"/>
      <c r="W248" s="260"/>
      <c r="X248" s="260"/>
      <c r="Y248" s="263" t="str">
        <f>Z247&amp;"-"&amp;AB247</f>
        <v>-</v>
      </c>
      <c r="Z248" s="4039"/>
      <c r="AA248" s="3899"/>
      <c r="AB248" s="4039"/>
      <c r="AC248" s="3899"/>
      <c r="AD248" s="260"/>
      <c r="AE248" s="260"/>
      <c r="AF248" s="260"/>
      <c r="AG248" s="263" t="str">
        <f>AH247&amp;"-"&amp;AJ247</f>
        <v>46023,4272800926-46387,4273958333</v>
      </c>
      <c r="AH248" s="4039"/>
      <c r="AI248" s="3899"/>
      <c r="AJ248" s="4039"/>
      <c r="AK248" s="3899"/>
      <c r="AL248" s="260"/>
      <c r="AM248" s="4057"/>
      <c r="AN248" s="1566"/>
      <c r="AO248" s="1548"/>
      <c r="AP248" s="1548" t="str">
        <f t="shared" si="4"/>
        <v/>
      </c>
      <c r="AQ248" s="1548"/>
      <c r="AR248" s="1548"/>
      <c r="AS248" s="1559">
        <v>0</v>
      </c>
    </row>
    <row r="249" spans="1:45" s="1745" customFormat="1" ht="15" customHeight="1">
      <c r="A249" s="1287"/>
      <c r="B249" s="1287"/>
      <c r="C249" s="1287"/>
      <c r="D249" s="1287"/>
      <c r="E249" s="4034"/>
      <c r="F249" s="4034"/>
      <c r="G249" s="4034">
        <v>1</v>
      </c>
      <c r="H249" s="4034"/>
      <c r="I249" s="4036"/>
      <c r="J249" s="4035"/>
      <c r="K249" s="1287"/>
      <c r="L249" s="1293"/>
      <c r="M249" s="1290"/>
      <c r="N249" s="1290"/>
      <c r="O249" s="1672"/>
      <c r="P249" s="4037"/>
      <c r="Q249" s="4037"/>
      <c r="R249" s="290"/>
      <c r="S249" s="3619"/>
      <c r="T249" s="3620" t="s">
        <v>619</v>
      </c>
      <c r="U249" s="3621"/>
      <c r="V249" s="3622"/>
      <c r="W249" s="3623"/>
      <c r="X249" s="3624"/>
      <c r="Y249" s="3625"/>
      <c r="Z249" s="3626"/>
      <c r="AA249" s="3627"/>
      <c r="AB249" s="3628"/>
      <c r="AC249" s="3629"/>
      <c r="AD249" s="3630"/>
      <c r="AE249" s="3631"/>
      <c r="AF249" s="3632"/>
      <c r="AG249" s="3633"/>
      <c r="AH249" s="3634"/>
      <c r="AI249" s="3635"/>
      <c r="AJ249" s="3636"/>
      <c r="AK249" s="3637"/>
      <c r="AL249" s="3638"/>
      <c r="AM249" s="4058"/>
      <c r="AN249" s="1566"/>
      <c r="AO249" s="1548"/>
      <c r="AP249" s="1548" t="str">
        <f t="shared" si="4"/>
        <v>Добавить вид теплоносителя (параметры теплоносителя)</v>
      </c>
      <c r="AQ249" s="1548"/>
      <c r="AR249" s="1548"/>
      <c r="AS249" s="1559">
        <v>0</v>
      </c>
    </row>
    <row r="250" spans="1:45" s="1745" customFormat="1" ht="15" customHeight="1">
      <c r="A250" s="1287"/>
      <c r="B250" s="1287"/>
      <c r="C250" s="1287"/>
      <c r="D250" s="1287"/>
      <c r="E250" s="4034"/>
      <c r="F250" s="4034"/>
      <c r="G250" s="4034">
        <v>1</v>
      </c>
      <c r="H250" s="4034"/>
      <c r="I250" s="4035"/>
      <c r="J250" s="1287"/>
      <c r="K250" s="1287"/>
      <c r="L250" s="1293"/>
      <c r="M250" s="1290"/>
      <c r="N250" s="1672"/>
      <c r="O250" s="1672"/>
      <c r="P250" s="4037"/>
      <c r="Q250" s="1974"/>
      <c r="R250" s="290"/>
      <c r="S250" s="3639"/>
      <c r="T250" s="3640" t="s">
        <v>620</v>
      </c>
      <c r="U250" s="3641"/>
      <c r="V250" s="3642"/>
      <c r="W250" s="3643"/>
      <c r="X250" s="3644"/>
      <c r="Y250" s="3645"/>
      <c r="Z250" s="3646"/>
      <c r="AA250" s="3647"/>
      <c r="AB250" s="3648"/>
      <c r="AC250" s="3649"/>
      <c r="AD250" s="3650"/>
      <c r="AE250" s="3651"/>
      <c r="AF250" s="3652"/>
      <c r="AG250" s="3653"/>
      <c r="AH250" s="3654"/>
      <c r="AI250" s="3655"/>
      <c r="AJ250" s="3656"/>
      <c r="AK250" s="3657"/>
      <c r="AL250" s="3658"/>
      <c r="AM250" s="3659"/>
      <c r="AN250" s="1566"/>
      <c r="AO250" s="1548"/>
      <c r="AP250" s="1548" t="str">
        <f t="shared" si="4"/>
        <v>Добавить группу потребителей</v>
      </c>
      <c r="AQ250" s="1548"/>
      <c r="AR250" s="1548"/>
      <c r="AS250" s="1559">
        <v>0</v>
      </c>
    </row>
    <row r="251" spans="1:45" s="1745" customFormat="1" ht="14.25" customHeight="1">
      <c r="A251" s="1287"/>
      <c r="B251" s="1287"/>
      <c r="C251" s="1287"/>
      <c r="D251" s="1287"/>
      <c r="E251" s="4034"/>
      <c r="F251" s="4034"/>
      <c r="G251" s="4034">
        <v>1</v>
      </c>
      <c r="H251" s="4033"/>
      <c r="I251" s="1287"/>
      <c r="J251" s="1287"/>
      <c r="K251" s="1287"/>
      <c r="L251" s="1293"/>
      <c r="M251" s="1289"/>
      <c r="N251" s="1289"/>
      <c r="O251" s="1290"/>
      <c r="P251" s="1718"/>
      <c r="Q251" s="309"/>
      <c r="R251" s="289"/>
      <c r="S251" s="1310"/>
      <c r="T251" s="1311"/>
      <c r="U251" s="1312"/>
      <c r="V251" s="1312"/>
      <c r="W251" s="1312"/>
      <c r="X251" s="1312"/>
      <c r="Y251" s="1312"/>
      <c r="Z251" s="1312"/>
      <c r="AA251" s="1312"/>
      <c r="AB251" s="1312"/>
      <c r="AC251" s="1312"/>
      <c r="AD251" s="1312"/>
      <c r="AE251" s="1312"/>
      <c r="AF251" s="1312"/>
      <c r="AG251" s="1312"/>
      <c r="AH251" s="1312"/>
      <c r="AI251" s="1312"/>
      <c r="AJ251" s="1312"/>
      <c r="AK251" s="1312"/>
      <c r="AL251" s="1312"/>
      <c r="AM251" s="1313"/>
      <c r="AN251" s="1566"/>
      <c r="AO251" s="1548"/>
      <c r="AP251" s="1548" t="str">
        <f t="shared" si="4"/>
        <v/>
      </c>
      <c r="AQ251" s="1548"/>
      <c r="AR251" s="1548"/>
      <c r="AS251" s="1559">
        <v>0</v>
      </c>
    </row>
    <row r="252" spans="1:45" s="556" customFormat="1" ht="0.75" customHeight="1">
      <c r="A252" s="1267"/>
      <c r="B252" s="1267"/>
      <c r="C252" s="1267"/>
      <c r="D252" s="1267"/>
      <c r="E252" s="4034"/>
      <c r="F252" s="4034"/>
      <c r="G252" s="4033">
        <v>1</v>
      </c>
      <c r="H252" s="1267"/>
      <c r="I252" s="1267"/>
      <c r="J252" s="1267"/>
      <c r="K252" s="1267"/>
      <c r="L252" s="1469"/>
      <c r="M252" s="1239"/>
      <c r="N252" s="1239"/>
      <c r="O252" s="1566"/>
      <c r="P252" s="1240"/>
      <c r="Q252" s="1268"/>
      <c r="R252" s="1240"/>
      <c r="S252" s="1242"/>
      <c r="T252" s="1243" t="s">
        <v>235</v>
      </c>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566"/>
      <c r="AO252" s="1548"/>
      <c r="AP252" s="1548" t="str">
        <f t="shared" si="4"/>
        <v>Добавить источник для дифференциации</v>
      </c>
      <c r="AQ252" s="1548"/>
      <c r="AR252" s="1548"/>
      <c r="AS252" s="1566">
        <v>0</v>
      </c>
    </row>
    <row r="253" spans="1:45" s="556" customFormat="1" ht="0.75" customHeight="1">
      <c r="A253" s="1267"/>
      <c r="B253" s="1267"/>
      <c r="C253" s="1267"/>
      <c r="D253" s="1267"/>
      <c r="E253" s="4034"/>
      <c r="F253" s="4033" t="s">
        <v>157</v>
      </c>
      <c r="G253" s="1267"/>
      <c r="H253" s="1267"/>
      <c r="I253" s="1267"/>
      <c r="J253" s="1267"/>
      <c r="K253" s="1267"/>
      <c r="L253" s="1469"/>
      <c r="M253" s="1245"/>
      <c r="N253" s="1245"/>
      <c r="O253" s="1566"/>
      <c r="P253" s="1240"/>
      <c r="Q253" s="1268"/>
      <c r="R253" s="1240"/>
      <c r="S253" s="1246"/>
      <c r="T253" s="1247" t="s">
        <v>236</v>
      </c>
      <c r="U253" s="1248"/>
      <c r="V253" s="1248"/>
      <c r="W253" s="1248"/>
      <c r="X253" s="1248"/>
      <c r="Y253" s="1248"/>
      <c r="Z253" s="1248"/>
      <c r="AA253" s="1248"/>
      <c r="AB253" s="1248"/>
      <c r="AC253" s="1248"/>
      <c r="AD253" s="1248"/>
      <c r="AE253" s="1248"/>
      <c r="AF253" s="1248"/>
      <c r="AG253" s="1248"/>
      <c r="AH253" s="1248"/>
      <c r="AI253" s="1248"/>
      <c r="AJ253" s="1248"/>
      <c r="AK253" s="1248"/>
      <c r="AL253" s="1248"/>
      <c r="AM253" s="1248"/>
      <c r="AN253" s="1566"/>
      <c r="AO253" s="1548"/>
      <c r="AP253" s="1548" t="str">
        <f t="shared" si="4"/>
        <v>Добавить централизованную систему для дифференциации</v>
      </c>
      <c r="AQ253" s="1548"/>
      <c r="AR253" s="1548"/>
      <c r="AS253" s="1566">
        <v>0</v>
      </c>
    </row>
    <row r="254" spans="1:45" s="1745" customFormat="1" ht="21" customHeight="1">
      <c r="A254" s="1287"/>
      <c r="B254" s="1287" t="s">
        <v>361</v>
      </c>
      <c r="C254" s="1287"/>
      <c r="D254" s="1287"/>
      <c r="E254" s="4034"/>
      <c r="F254" s="4033" t="s">
        <v>162</v>
      </c>
      <c r="G254" s="1287"/>
      <c r="H254" s="1287"/>
      <c r="I254" s="1287"/>
      <c r="J254" s="1287"/>
      <c r="K254" s="1287"/>
      <c r="L254" s="1293"/>
      <c r="M254" s="1289"/>
      <c r="N254" s="1289"/>
      <c r="O254" s="1289"/>
      <c r="P254" s="1970"/>
      <c r="Q254" s="286"/>
      <c r="R254" s="287"/>
      <c r="S254" s="1972" t="str">
        <f>INDEX(PT_DIFFERENTIATION_NUM_TER,MATCH(B254,PT_DIFFERENTIATION_TER_ID,0))</f>
        <v>1.16</v>
      </c>
      <c r="T254" s="1446" t="s">
        <v>605</v>
      </c>
      <c r="U254" s="235"/>
      <c r="V254" s="4027"/>
      <c r="W254" s="4028"/>
      <c r="X254" s="4028"/>
      <c r="Y254" s="4028"/>
      <c r="Z254" s="4028"/>
      <c r="AA254" s="4028"/>
      <c r="AB254" s="4028"/>
      <c r="AC254" s="4029"/>
      <c r="AD254" s="4027" t="str">
        <f>INDEX(PT_DIFFERENTIATION_TER,MATCH(B254,PT_DIFFERENTIATION_TER_ID,0))</f>
        <v>Территория 23</v>
      </c>
      <c r="AE254" s="4028"/>
      <c r="AF254" s="4028"/>
      <c r="AG254" s="4028"/>
      <c r="AH254" s="4028"/>
      <c r="AI254" s="4028"/>
      <c r="AJ254" s="4028"/>
      <c r="AK254" s="4028"/>
      <c r="AL254" s="4029"/>
      <c r="AM254" s="1182" t="s">
        <v>606</v>
      </c>
      <c r="AN254" s="1566"/>
      <c r="AO254" s="1548"/>
      <c r="AP254" s="1548" t="str">
        <f t="shared" si="4"/>
        <v>Территория действия тарифа</v>
      </c>
      <c r="AQ254" s="1548"/>
      <c r="AR254" s="1548"/>
      <c r="AS254" s="1559">
        <v>0</v>
      </c>
    </row>
    <row r="255" spans="1:45" s="1745" customFormat="1" ht="23.25" customHeight="1">
      <c r="A255" s="1287"/>
      <c r="B255" s="1287"/>
      <c r="C255" s="1287" t="s">
        <v>362</v>
      </c>
      <c r="D255" s="1287"/>
      <c r="E255" s="4034"/>
      <c r="F255" s="4034" t="s">
        <v>92</v>
      </c>
      <c r="G255" s="4033">
        <v>1</v>
      </c>
      <c r="H255" s="1287"/>
      <c r="I255" s="1287"/>
      <c r="J255" s="1287"/>
      <c r="K255" s="1287"/>
      <c r="L255" s="1293"/>
      <c r="M255" s="1289"/>
      <c r="N255" s="1289"/>
      <c r="O255" s="1289"/>
      <c r="P255" s="288"/>
      <c r="Q255" s="286"/>
      <c r="R255" s="287"/>
      <c r="S255" s="1972" t="str">
        <f>INDEX(PT_DIFFERENTIATION_NUM_CS,MATCH(C255,PT_DIFFERENTIATION_CS_ID,0))</f>
        <v>1.16.1</v>
      </c>
      <c r="T255" s="244" t="s">
        <v>607</v>
      </c>
      <c r="U255" s="235"/>
      <c r="V255" s="4027"/>
      <c r="W255" s="4028"/>
      <c r="X255" s="4028"/>
      <c r="Y255" s="4028"/>
      <c r="Z255" s="4028"/>
      <c r="AA255" s="4028"/>
      <c r="AB255" s="4028"/>
      <c r="AC255" s="4029"/>
      <c r="AD255" s="4027" t="str">
        <f>INDEX(PT_DIFFERENTIATION_CS,MATCH(C255,PT_DIFFERENTIATION_CS_ID,0))</f>
        <v>кот. с. Игоревская</v>
      </c>
      <c r="AE255" s="4028"/>
      <c r="AF255" s="4028"/>
      <c r="AG255" s="4028"/>
      <c r="AH255" s="4028"/>
      <c r="AI255" s="4028"/>
      <c r="AJ255" s="4028"/>
      <c r="AK255" s="4028"/>
      <c r="AL255" s="4029"/>
      <c r="AM255" s="1182" t="s">
        <v>608</v>
      </c>
      <c r="AN255" s="1566"/>
      <c r="AO255" s="1548"/>
      <c r="AP255" s="1548" t="str">
        <f t="shared" si="4"/>
        <v xml:space="preserve">Наименование системы теплоснабжения </v>
      </c>
      <c r="AQ255" s="1548"/>
      <c r="AR255" s="1548"/>
      <c r="AS255" s="1559">
        <v>0</v>
      </c>
    </row>
    <row r="256" spans="1:45" s="1745" customFormat="1" ht="21" customHeight="1">
      <c r="A256" s="1287"/>
      <c r="B256" s="1287"/>
      <c r="C256" s="1287"/>
      <c r="D256" s="1287" t="s">
        <v>363</v>
      </c>
      <c r="E256" s="4034"/>
      <c r="F256" s="4034" t="s">
        <v>92</v>
      </c>
      <c r="G256" s="4034"/>
      <c r="H256" s="4033">
        <v>1</v>
      </c>
      <c r="I256" s="1287"/>
      <c r="J256" s="1287"/>
      <c r="K256" s="1287"/>
      <c r="L256" s="1293"/>
      <c r="M256" s="1289"/>
      <c r="N256" s="1289"/>
      <c r="O256" s="1289"/>
      <c r="P256" s="288"/>
      <c r="Q256" s="286"/>
      <c r="R256" s="287"/>
      <c r="S256" s="1972" t="str">
        <f>INDEX(PT_DIFFERENTIATION_NUM_IST_TE,MATCH(D256,PT_DIFFERENTIATION_IST_TE_ID,0))</f>
        <v>1.16.1.1</v>
      </c>
      <c r="T256" s="245" t="s">
        <v>609</v>
      </c>
      <c r="U256" s="235"/>
      <c r="V256" s="4027"/>
      <c r="W256" s="4028"/>
      <c r="X256" s="4028"/>
      <c r="Y256" s="4028"/>
      <c r="Z256" s="4028"/>
      <c r="AA256" s="4028"/>
      <c r="AB256" s="4028"/>
      <c r="AC256" s="4029"/>
      <c r="AD256" s="4027" t="str">
        <f>INDEX(PT_DIFFERENTIATION_IST_TE,MATCH(D256,PT_DIFFERENTIATION_IST_TE_ID,0))</f>
        <v>без дифференциации</v>
      </c>
      <c r="AE256" s="4028"/>
      <c r="AF256" s="4028"/>
      <c r="AG256" s="4028"/>
      <c r="AH256" s="4028"/>
      <c r="AI256" s="4028"/>
      <c r="AJ256" s="4028"/>
      <c r="AK256" s="4028"/>
      <c r="AL256" s="4029"/>
      <c r="AM256" s="1182" t="s">
        <v>610</v>
      </c>
      <c r="AN256" s="1566"/>
      <c r="AO256" s="1548"/>
      <c r="AP256" s="1548" t="str">
        <f t="shared" si="4"/>
        <v xml:space="preserve">Источник тепловой энергии  </v>
      </c>
      <c r="AQ256" s="1548"/>
      <c r="AR256" s="1548"/>
      <c r="AS256" s="1559">
        <v>0</v>
      </c>
    </row>
    <row r="257" spans="1:45" s="1745" customFormat="1" ht="14.25" customHeight="1">
      <c r="A257" s="1287"/>
      <c r="B257" s="1287"/>
      <c r="C257" s="1287"/>
      <c r="D257" s="1287"/>
      <c r="E257" s="4034"/>
      <c r="F257" s="4034" t="s">
        <v>92</v>
      </c>
      <c r="G257" s="4034"/>
      <c r="H257" s="4034"/>
      <c r="I257" s="4035" t="str">
        <f>S256&amp;".1"</f>
        <v>1.16.1.1.1</v>
      </c>
      <c r="J257" s="1287"/>
      <c r="K257" s="1287"/>
      <c r="L257" s="1293" t="s">
        <v>611</v>
      </c>
      <c r="M257" s="1290"/>
      <c r="N257" s="1672"/>
      <c r="O257" s="1672"/>
      <c r="P257" s="4037">
        <v>1</v>
      </c>
      <c r="Q257" s="1974"/>
      <c r="R257" s="290"/>
      <c r="S257" s="1973"/>
      <c r="T257" s="1307"/>
      <c r="U257" s="1308"/>
      <c r="V257" s="4064"/>
      <c r="W257" s="4065"/>
      <c r="X257" s="4065"/>
      <c r="Y257" s="4065"/>
      <c r="Z257" s="4065"/>
      <c r="AA257" s="4065"/>
      <c r="AB257" s="4065"/>
      <c r="AC257" s="4066"/>
      <c r="AD257" s="4064"/>
      <c r="AE257" s="4065"/>
      <c r="AF257" s="4065"/>
      <c r="AG257" s="4065"/>
      <c r="AH257" s="4065"/>
      <c r="AI257" s="4065"/>
      <c r="AJ257" s="4065"/>
      <c r="AK257" s="4065"/>
      <c r="AL257" s="4066"/>
      <c r="AM257" s="1309"/>
      <c r="AN257" s="1566"/>
      <c r="AO257" s="1548"/>
      <c r="AP257" s="1548" t="str">
        <f t="shared" si="4"/>
        <v/>
      </c>
      <c r="AQ257" s="1548"/>
      <c r="AR257" s="1548"/>
      <c r="AS257" s="1559">
        <v>0</v>
      </c>
    </row>
    <row r="258" spans="1:45" s="1745" customFormat="1" ht="21" customHeight="1">
      <c r="A258" s="1287"/>
      <c r="B258" s="1287"/>
      <c r="C258" s="1287"/>
      <c r="D258" s="1287"/>
      <c r="E258" s="4034"/>
      <c r="F258" s="4034" t="s">
        <v>92</v>
      </c>
      <c r="G258" s="4034"/>
      <c r="H258" s="4034"/>
      <c r="I258" s="4036"/>
      <c r="J258" s="4035" t="str">
        <f>I257&amp;".1"</f>
        <v>1.16.1.1.1.1</v>
      </c>
      <c r="K258" s="1287"/>
      <c r="L258" s="1293" t="s">
        <v>614</v>
      </c>
      <c r="M258" s="1290"/>
      <c r="N258" s="1290"/>
      <c r="O258" s="1672"/>
      <c r="P258" s="4037"/>
      <c r="Q258" s="4037">
        <v>1</v>
      </c>
      <c r="R258" s="291"/>
      <c r="S258" s="1972" t="str">
        <f>$J258</f>
        <v>1.16.1.1.1.1</v>
      </c>
      <c r="T258" s="221" t="s">
        <v>615</v>
      </c>
      <c r="U258" s="235"/>
      <c r="V258" s="4021"/>
      <c r="W258" s="4022"/>
      <c r="X258" s="4022"/>
      <c r="Y258" s="4022"/>
      <c r="Z258" s="4022"/>
      <c r="AA258" s="4022"/>
      <c r="AB258" s="4022"/>
      <c r="AC258" s="4023"/>
      <c r="AD258" s="4021" t="s">
        <v>654</v>
      </c>
      <c r="AE258" s="4022"/>
      <c r="AF258" s="4022"/>
      <c r="AG258" s="4022"/>
      <c r="AH258" s="4022"/>
      <c r="AI258" s="4022"/>
      <c r="AJ258" s="4022"/>
      <c r="AK258" s="4022"/>
      <c r="AL258" s="4023"/>
      <c r="AM258" s="1182" t="s">
        <v>616</v>
      </c>
      <c r="AN258" s="1566"/>
      <c r="AO258" s="1548"/>
      <c r="AP258" s="1548" t="str">
        <f t="shared" si="4"/>
        <v>Группа потребителей</v>
      </c>
      <c r="AQ258" s="1548"/>
      <c r="AR258" s="1548"/>
      <c r="AS258" s="1559">
        <v>0</v>
      </c>
    </row>
    <row r="259" spans="1:45" s="1745" customFormat="1" ht="21" customHeight="1">
      <c r="A259" s="1287"/>
      <c r="B259" s="1287"/>
      <c r="C259" s="1287"/>
      <c r="D259" s="1287"/>
      <c r="E259" s="4034"/>
      <c r="F259" s="4034" t="s">
        <v>92</v>
      </c>
      <c r="G259" s="4034"/>
      <c r="H259" s="4034"/>
      <c r="I259" s="4036"/>
      <c r="J259" s="4036"/>
      <c r="K259" s="4035" t="str">
        <f>J258&amp;".1"</f>
        <v>1.16.1.1.1.1.1</v>
      </c>
      <c r="L259" s="1293" t="s">
        <v>617</v>
      </c>
      <c r="M259" s="1290"/>
      <c r="N259" s="1290"/>
      <c r="O259" s="1290"/>
      <c r="P259" s="4037"/>
      <c r="Q259" s="4037"/>
      <c r="R259" s="291">
        <v>1</v>
      </c>
      <c r="S259" s="1972" t="str">
        <f>$K259</f>
        <v>1.16.1.1.1.1.1</v>
      </c>
      <c r="T259" s="1271" t="s">
        <v>654</v>
      </c>
      <c r="U259" s="235"/>
      <c r="V259" s="685"/>
      <c r="W259" s="260"/>
      <c r="X259" s="685"/>
      <c r="Y259" s="1181"/>
      <c r="Z259" s="4038"/>
      <c r="AA259" s="3899" t="s">
        <v>53</v>
      </c>
      <c r="AB259" s="4038"/>
      <c r="AC259" s="3899" t="s">
        <v>53</v>
      </c>
      <c r="AD259" s="685">
        <v>373.25</v>
      </c>
      <c r="AE259" s="260"/>
      <c r="AF259" s="685"/>
      <c r="AG259" s="1181"/>
      <c r="AH259" s="4038">
        <v>46023.428136574075</v>
      </c>
      <c r="AI259" s="3899" t="s">
        <v>53</v>
      </c>
      <c r="AJ259" s="4038">
        <v>46387.428287037037</v>
      </c>
      <c r="AK259" s="3899" t="s">
        <v>53</v>
      </c>
      <c r="AL259" s="260"/>
      <c r="AM259" s="4056" t="s">
        <v>618</v>
      </c>
      <c r="AN259" s="1566" t="e">
        <f ca="1">STRCHECKDATE(V260:AL260)</f>
        <v>#NAME?</v>
      </c>
      <c r="AO259" s="1548"/>
      <c r="AP259" s="1548" t="str">
        <f t="shared" si="4"/>
        <v>без дифференциации</v>
      </c>
      <c r="AQ259" s="1548"/>
      <c r="AR259" s="1548"/>
      <c r="AS259" s="1559">
        <v>0</v>
      </c>
    </row>
    <row r="260" spans="1:45" s="1745" customFormat="1" ht="0.75" customHeight="1">
      <c r="A260" s="1287"/>
      <c r="B260" s="1287"/>
      <c r="C260" s="1287"/>
      <c r="D260" s="1287"/>
      <c r="E260" s="4034"/>
      <c r="F260" s="4034" t="s">
        <v>92</v>
      </c>
      <c r="G260" s="4034"/>
      <c r="H260" s="4034"/>
      <c r="I260" s="4036"/>
      <c r="J260" s="4036"/>
      <c r="K260" s="4035"/>
      <c r="L260" s="1293"/>
      <c r="M260" s="1290"/>
      <c r="N260" s="1290"/>
      <c r="O260" s="1290"/>
      <c r="P260" s="4037"/>
      <c r="Q260" s="4037"/>
      <c r="R260" s="291"/>
      <c r="S260" s="1978"/>
      <c r="T260" s="235"/>
      <c r="U260" s="235"/>
      <c r="V260" s="260"/>
      <c r="W260" s="260"/>
      <c r="X260" s="260"/>
      <c r="Y260" s="263" t="str">
        <f>Z259&amp;"-"&amp;AB259</f>
        <v>-</v>
      </c>
      <c r="Z260" s="4039"/>
      <c r="AA260" s="3899"/>
      <c r="AB260" s="4039"/>
      <c r="AC260" s="3899"/>
      <c r="AD260" s="260"/>
      <c r="AE260" s="260"/>
      <c r="AF260" s="260"/>
      <c r="AG260" s="263" t="str">
        <f>AH259&amp;"-"&amp;AJ259</f>
        <v>46023,4281365741-46387,428287037</v>
      </c>
      <c r="AH260" s="4039"/>
      <c r="AI260" s="3899"/>
      <c r="AJ260" s="4039"/>
      <c r="AK260" s="3899"/>
      <c r="AL260" s="260"/>
      <c r="AM260" s="4057"/>
      <c r="AN260" s="1566"/>
      <c r="AO260" s="1548"/>
      <c r="AP260" s="1548" t="str">
        <f t="shared" si="4"/>
        <v/>
      </c>
      <c r="AQ260" s="1548"/>
      <c r="AR260" s="1548"/>
      <c r="AS260" s="1559">
        <v>0</v>
      </c>
    </row>
    <row r="261" spans="1:45" s="1745" customFormat="1" ht="15" customHeight="1">
      <c r="A261" s="1287"/>
      <c r="B261" s="1287"/>
      <c r="C261" s="1287"/>
      <c r="D261" s="1287"/>
      <c r="E261" s="4034"/>
      <c r="F261" s="4034" t="s">
        <v>92</v>
      </c>
      <c r="G261" s="4034"/>
      <c r="H261" s="4034"/>
      <c r="I261" s="4036"/>
      <c r="J261" s="4035"/>
      <c r="K261" s="1287"/>
      <c r="L261" s="1293"/>
      <c r="M261" s="1290"/>
      <c r="N261" s="1290"/>
      <c r="O261" s="1672"/>
      <c r="P261" s="4037"/>
      <c r="Q261" s="4037"/>
      <c r="R261" s="290"/>
      <c r="S261" s="3495"/>
      <c r="T261" s="3496" t="s">
        <v>619</v>
      </c>
      <c r="U261" s="3497"/>
      <c r="V261" s="3498"/>
      <c r="W261" s="3499"/>
      <c r="X261" s="3500"/>
      <c r="Y261" s="3501"/>
      <c r="Z261" s="3502"/>
      <c r="AA261" s="3503"/>
      <c r="AB261" s="3504"/>
      <c r="AC261" s="3505"/>
      <c r="AD261" s="3506"/>
      <c r="AE261" s="3507"/>
      <c r="AF261" s="3508"/>
      <c r="AG261" s="3509"/>
      <c r="AH261" s="3510"/>
      <c r="AI261" s="3511"/>
      <c r="AJ261" s="3512"/>
      <c r="AK261" s="3513"/>
      <c r="AL261" s="3514"/>
      <c r="AM261" s="4058"/>
      <c r="AN261" s="1566"/>
      <c r="AO261" s="1548"/>
      <c r="AP261" s="1548" t="str">
        <f t="shared" si="4"/>
        <v>Добавить вид теплоносителя (параметры теплоносителя)</v>
      </c>
      <c r="AQ261" s="1548"/>
      <c r="AR261" s="1548"/>
      <c r="AS261" s="1559">
        <v>0</v>
      </c>
    </row>
    <row r="262" spans="1:45" s="1745" customFormat="1" ht="15" customHeight="1">
      <c r="A262" s="1287"/>
      <c r="B262" s="1287"/>
      <c r="C262" s="1287"/>
      <c r="D262" s="1287"/>
      <c r="E262" s="4034"/>
      <c r="F262" s="4034" t="s">
        <v>92</v>
      </c>
      <c r="G262" s="4034"/>
      <c r="H262" s="4034"/>
      <c r="I262" s="4035"/>
      <c r="J262" s="1287"/>
      <c r="K262" s="1287"/>
      <c r="L262" s="1293"/>
      <c r="M262" s="1290"/>
      <c r="N262" s="1672"/>
      <c r="O262" s="1672"/>
      <c r="P262" s="4037"/>
      <c r="Q262" s="1974"/>
      <c r="R262" s="290"/>
      <c r="S262" s="3515"/>
      <c r="T262" s="3516" t="s">
        <v>620</v>
      </c>
      <c r="U262" s="3517"/>
      <c r="V262" s="3518"/>
      <c r="W262" s="3519"/>
      <c r="X262" s="3520"/>
      <c r="Y262" s="3521"/>
      <c r="Z262" s="3522"/>
      <c r="AA262" s="3523"/>
      <c r="AB262" s="3524"/>
      <c r="AC262" s="3525"/>
      <c r="AD262" s="3526"/>
      <c r="AE262" s="3527"/>
      <c r="AF262" s="3528"/>
      <c r="AG262" s="3529"/>
      <c r="AH262" s="3530"/>
      <c r="AI262" s="3531"/>
      <c r="AJ262" s="3532"/>
      <c r="AK262" s="3533"/>
      <c r="AL262" s="3534"/>
      <c r="AM262" s="3535"/>
      <c r="AN262" s="1566"/>
      <c r="AO262" s="1548"/>
      <c r="AP262" s="1548" t="str">
        <f t="shared" si="4"/>
        <v>Добавить группу потребителей</v>
      </c>
      <c r="AQ262" s="1548"/>
      <c r="AR262" s="1548"/>
      <c r="AS262" s="1559">
        <v>0</v>
      </c>
    </row>
    <row r="263" spans="1:45" s="1745" customFormat="1" ht="14.25" customHeight="1">
      <c r="A263" s="1287"/>
      <c r="B263" s="1287"/>
      <c r="C263" s="1287"/>
      <c r="D263" s="1287"/>
      <c r="E263" s="4034"/>
      <c r="F263" s="4034" t="s">
        <v>92</v>
      </c>
      <c r="G263" s="4034"/>
      <c r="H263" s="4033"/>
      <c r="I263" s="1287"/>
      <c r="J263" s="1287"/>
      <c r="K263" s="1287"/>
      <c r="L263" s="1293"/>
      <c r="M263" s="1289"/>
      <c r="N263" s="1289"/>
      <c r="O263" s="1290"/>
      <c r="P263" s="1718"/>
      <c r="Q263" s="309"/>
      <c r="R263" s="289"/>
      <c r="S263" s="1310"/>
      <c r="T263" s="1311"/>
      <c r="U263" s="1312"/>
      <c r="V263" s="1312"/>
      <c r="W263" s="1312"/>
      <c r="X263" s="1312"/>
      <c r="Y263" s="1312"/>
      <c r="Z263" s="1312"/>
      <c r="AA263" s="1312"/>
      <c r="AB263" s="1312"/>
      <c r="AC263" s="1312"/>
      <c r="AD263" s="1312"/>
      <c r="AE263" s="1312"/>
      <c r="AF263" s="1312"/>
      <c r="AG263" s="1312"/>
      <c r="AH263" s="1312"/>
      <c r="AI263" s="1312"/>
      <c r="AJ263" s="1312"/>
      <c r="AK263" s="1312"/>
      <c r="AL263" s="1312"/>
      <c r="AM263" s="1313"/>
      <c r="AN263" s="1566"/>
      <c r="AO263" s="1548"/>
      <c r="AP263" s="1548" t="str">
        <f t="shared" si="4"/>
        <v/>
      </c>
      <c r="AQ263" s="1548"/>
      <c r="AR263" s="1548"/>
      <c r="AS263" s="1559">
        <v>0</v>
      </c>
    </row>
    <row r="264" spans="1:45" s="556" customFormat="1" ht="0.75" customHeight="1">
      <c r="A264" s="1267"/>
      <c r="B264" s="1267"/>
      <c r="C264" s="1267"/>
      <c r="D264" s="1267"/>
      <c r="E264" s="4034"/>
      <c r="F264" s="4034" t="s">
        <v>92</v>
      </c>
      <c r="G264" s="4033"/>
      <c r="H264" s="1267"/>
      <c r="I264" s="1267"/>
      <c r="J264" s="1267"/>
      <c r="K264" s="1267"/>
      <c r="L264" s="1469"/>
      <c r="M264" s="1239"/>
      <c r="N264" s="1239"/>
      <c r="O264" s="1566"/>
      <c r="P264" s="1240"/>
      <c r="Q264" s="1268"/>
      <c r="R264" s="1240"/>
      <c r="S264" s="1242"/>
      <c r="T264" s="1243" t="s">
        <v>235</v>
      </c>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566"/>
      <c r="AO264" s="1548"/>
      <c r="AP264" s="1548" t="str">
        <f t="shared" si="4"/>
        <v>Добавить источник для дифференциации</v>
      </c>
      <c r="AQ264" s="1548"/>
      <c r="AR264" s="1548"/>
      <c r="AS264" s="1566">
        <v>0</v>
      </c>
    </row>
    <row r="265" spans="1:45" s="556" customFormat="1" ht="0.75" customHeight="1">
      <c r="A265" s="1267"/>
      <c r="B265" s="1267"/>
      <c r="C265" s="1267"/>
      <c r="D265" s="1267"/>
      <c r="E265" s="4034"/>
      <c r="F265" s="4033" t="s">
        <v>92</v>
      </c>
      <c r="G265" s="1267"/>
      <c r="H265" s="1267"/>
      <c r="I265" s="1267"/>
      <c r="J265" s="1267"/>
      <c r="K265" s="1267"/>
      <c r="L265" s="1469"/>
      <c r="M265" s="1245"/>
      <c r="N265" s="1245"/>
      <c r="O265" s="1566"/>
      <c r="P265" s="1240"/>
      <c r="Q265" s="1268"/>
      <c r="R265" s="1240"/>
      <c r="S265" s="1246"/>
      <c r="T265" s="1247" t="s">
        <v>236</v>
      </c>
      <c r="U265" s="1248"/>
      <c r="V265" s="1248"/>
      <c r="W265" s="1248"/>
      <c r="X265" s="1248"/>
      <c r="Y265" s="1248"/>
      <c r="Z265" s="1248"/>
      <c r="AA265" s="1248"/>
      <c r="AB265" s="1248"/>
      <c r="AC265" s="1248"/>
      <c r="AD265" s="1248"/>
      <c r="AE265" s="1248"/>
      <c r="AF265" s="1248"/>
      <c r="AG265" s="1248"/>
      <c r="AH265" s="1248"/>
      <c r="AI265" s="1248"/>
      <c r="AJ265" s="1248"/>
      <c r="AK265" s="1248"/>
      <c r="AL265" s="1248"/>
      <c r="AM265" s="1248"/>
      <c r="AN265" s="1566"/>
      <c r="AO265" s="1548"/>
      <c r="AP265" s="1548" t="str">
        <f t="shared" si="4"/>
        <v>Добавить централизованную систему для дифференциации</v>
      </c>
      <c r="AQ265" s="1548"/>
      <c r="AR265" s="1548"/>
      <c r="AS265" s="1566">
        <v>0</v>
      </c>
    </row>
    <row r="266" spans="1:45" s="1745" customFormat="1" ht="21" customHeight="1">
      <c r="A266" s="1287"/>
      <c r="B266" s="1287" t="s">
        <v>364</v>
      </c>
      <c r="C266" s="1287"/>
      <c r="D266" s="1287"/>
      <c r="E266" s="4034"/>
      <c r="F266" s="4033" t="s">
        <v>170</v>
      </c>
      <c r="G266" s="1287"/>
      <c r="H266" s="1287"/>
      <c r="I266" s="1287"/>
      <c r="J266" s="1287"/>
      <c r="K266" s="1287"/>
      <c r="L266" s="1293"/>
      <c r="M266" s="1289"/>
      <c r="N266" s="1289"/>
      <c r="O266" s="1289"/>
      <c r="P266" s="1970"/>
      <c r="Q266" s="286"/>
      <c r="R266" s="287"/>
      <c r="S266" s="1972" t="str">
        <f>INDEX(PT_DIFFERENTIATION_NUM_TER,MATCH(B266,PT_DIFFERENTIATION_TER_ID,0))</f>
        <v>1.17</v>
      </c>
      <c r="T266" s="1446" t="s">
        <v>605</v>
      </c>
      <c r="U266" s="235"/>
      <c r="V266" s="4027"/>
      <c r="W266" s="4028"/>
      <c r="X266" s="4028"/>
      <c r="Y266" s="4028"/>
      <c r="Z266" s="4028"/>
      <c r="AA266" s="4028"/>
      <c r="AB266" s="4028"/>
      <c r="AC266" s="4029"/>
      <c r="AD266" s="4027" t="str">
        <f>INDEX(PT_DIFFERENTIATION_TER,MATCH(B266,PT_DIFFERENTIATION_TER_ID,0))</f>
        <v>Территория 11</v>
      </c>
      <c r="AE266" s="4028"/>
      <c r="AF266" s="4028"/>
      <c r="AG266" s="4028"/>
      <c r="AH266" s="4028"/>
      <c r="AI266" s="4028"/>
      <c r="AJ266" s="4028"/>
      <c r="AK266" s="4028"/>
      <c r="AL266" s="4029"/>
      <c r="AM266" s="1182" t="s">
        <v>606</v>
      </c>
      <c r="AN266" s="1566"/>
      <c r="AO266" s="1548"/>
      <c r="AP266" s="1548" t="str">
        <f t="shared" si="4"/>
        <v>Территория действия тарифа</v>
      </c>
      <c r="AQ266" s="1548"/>
      <c r="AR266" s="1548"/>
      <c r="AS266" s="1559">
        <v>0</v>
      </c>
    </row>
    <row r="267" spans="1:45" s="1745" customFormat="1" ht="23.25" customHeight="1">
      <c r="A267" s="1287"/>
      <c r="B267" s="1287"/>
      <c r="C267" s="1287" t="s">
        <v>365</v>
      </c>
      <c r="D267" s="1287"/>
      <c r="E267" s="4034"/>
      <c r="F267" s="4034" t="s">
        <v>168</v>
      </c>
      <c r="G267" s="4033">
        <v>1</v>
      </c>
      <c r="H267" s="1287"/>
      <c r="I267" s="1287"/>
      <c r="J267" s="1287"/>
      <c r="K267" s="1287"/>
      <c r="L267" s="1293"/>
      <c r="M267" s="1289"/>
      <c r="N267" s="1289"/>
      <c r="O267" s="1289"/>
      <c r="P267" s="288"/>
      <c r="Q267" s="286"/>
      <c r="R267" s="287"/>
      <c r="S267" s="1972" t="str">
        <f>INDEX(PT_DIFFERENTIATION_NUM_CS,MATCH(C267,PT_DIFFERENTIATION_CS_ID,0))</f>
        <v>1.17.1</v>
      </c>
      <c r="T267" s="244" t="s">
        <v>607</v>
      </c>
      <c r="U267" s="235"/>
      <c r="V267" s="4027"/>
      <c r="W267" s="4028"/>
      <c r="X267" s="4028"/>
      <c r="Y267" s="4028"/>
      <c r="Z267" s="4028"/>
      <c r="AA267" s="4028"/>
      <c r="AB267" s="4028"/>
      <c r="AC267" s="4029"/>
      <c r="AD267" s="4027" t="str">
        <f>INDEX(PT_DIFFERENTIATION_CS,MATCH(C267,PT_DIFFERENTIATION_CS_ID,0))</f>
        <v>котельная д. Богородицкое</v>
      </c>
      <c r="AE267" s="4028"/>
      <c r="AF267" s="4028"/>
      <c r="AG267" s="4028"/>
      <c r="AH267" s="4028"/>
      <c r="AI267" s="4028"/>
      <c r="AJ267" s="4028"/>
      <c r="AK267" s="4028"/>
      <c r="AL267" s="4029"/>
      <c r="AM267" s="1182" t="s">
        <v>608</v>
      </c>
      <c r="AN267" s="1566"/>
      <c r="AO267" s="1548"/>
      <c r="AP267" s="1548" t="str">
        <f t="shared" si="4"/>
        <v xml:space="preserve">Наименование системы теплоснабжения </v>
      </c>
      <c r="AQ267" s="1548"/>
      <c r="AR267" s="1548"/>
      <c r="AS267" s="1559">
        <v>0</v>
      </c>
    </row>
    <row r="268" spans="1:45" s="1745" customFormat="1" ht="21" customHeight="1">
      <c r="A268" s="1287"/>
      <c r="B268" s="1287"/>
      <c r="C268" s="1287"/>
      <c r="D268" s="1287" t="s">
        <v>366</v>
      </c>
      <c r="E268" s="4034"/>
      <c r="F268" s="4034" t="s">
        <v>168</v>
      </c>
      <c r="G268" s="4034"/>
      <c r="H268" s="4033">
        <v>1</v>
      </c>
      <c r="I268" s="1287"/>
      <c r="J268" s="1287"/>
      <c r="K268" s="1287"/>
      <c r="L268" s="1293"/>
      <c r="M268" s="1289"/>
      <c r="N268" s="1289"/>
      <c r="O268" s="1289"/>
      <c r="P268" s="288"/>
      <c r="Q268" s="286"/>
      <c r="R268" s="287"/>
      <c r="S268" s="1972" t="str">
        <f>INDEX(PT_DIFFERENTIATION_NUM_IST_TE,MATCH(D268,PT_DIFFERENTIATION_IST_TE_ID,0))</f>
        <v>1.17.1.1</v>
      </c>
      <c r="T268" s="245" t="s">
        <v>609</v>
      </c>
      <c r="U268" s="235"/>
      <c r="V268" s="4027"/>
      <c r="W268" s="4028"/>
      <c r="X268" s="4028"/>
      <c r="Y268" s="4028"/>
      <c r="Z268" s="4028"/>
      <c r="AA268" s="4028"/>
      <c r="AB268" s="4028"/>
      <c r="AC268" s="4029"/>
      <c r="AD268" s="4027" t="str">
        <f>INDEX(PT_DIFFERENTIATION_IST_TE,MATCH(D268,PT_DIFFERENTIATION_IST_TE_ID,0))</f>
        <v>без дифференциации</v>
      </c>
      <c r="AE268" s="4028"/>
      <c r="AF268" s="4028"/>
      <c r="AG268" s="4028"/>
      <c r="AH268" s="4028"/>
      <c r="AI268" s="4028"/>
      <c r="AJ268" s="4028"/>
      <c r="AK268" s="4028"/>
      <c r="AL268" s="4029"/>
      <c r="AM268" s="1182" t="s">
        <v>610</v>
      </c>
      <c r="AN268" s="1566"/>
      <c r="AO268" s="1548"/>
      <c r="AP268" s="1548" t="str">
        <f t="shared" si="4"/>
        <v xml:space="preserve">Источник тепловой энергии  </v>
      </c>
      <c r="AQ268" s="1548"/>
      <c r="AR268" s="1548"/>
      <c r="AS268" s="1559">
        <v>0</v>
      </c>
    </row>
    <row r="269" spans="1:45" s="1745" customFormat="1" ht="14.25" customHeight="1">
      <c r="A269" s="1287"/>
      <c r="B269" s="1287"/>
      <c r="C269" s="1287"/>
      <c r="D269" s="1287"/>
      <c r="E269" s="4034"/>
      <c r="F269" s="4034" t="s">
        <v>168</v>
      </c>
      <c r="G269" s="4034"/>
      <c r="H269" s="4034"/>
      <c r="I269" s="4035" t="str">
        <f>S268&amp;".1"</f>
        <v>1.17.1.1.1</v>
      </c>
      <c r="J269" s="1287"/>
      <c r="K269" s="1287"/>
      <c r="L269" s="1293" t="s">
        <v>611</v>
      </c>
      <c r="M269" s="1290"/>
      <c r="N269" s="1672"/>
      <c r="O269" s="1672"/>
      <c r="P269" s="4037">
        <v>1</v>
      </c>
      <c r="Q269" s="1974"/>
      <c r="R269" s="290"/>
      <c r="S269" s="1973"/>
      <c r="T269" s="1307"/>
      <c r="U269" s="1308"/>
      <c r="V269" s="4064"/>
      <c r="W269" s="4065"/>
      <c r="X269" s="4065"/>
      <c r="Y269" s="4065"/>
      <c r="Z269" s="4065"/>
      <c r="AA269" s="4065"/>
      <c r="AB269" s="4065"/>
      <c r="AC269" s="4066"/>
      <c r="AD269" s="4064"/>
      <c r="AE269" s="4065"/>
      <c r="AF269" s="4065"/>
      <c r="AG269" s="4065"/>
      <c r="AH269" s="4065"/>
      <c r="AI269" s="4065"/>
      <c r="AJ269" s="4065"/>
      <c r="AK269" s="4065"/>
      <c r="AL269" s="4066"/>
      <c r="AM269" s="1309"/>
      <c r="AN269" s="1566"/>
      <c r="AO269" s="1548"/>
      <c r="AP269" s="1548" t="str">
        <f t="shared" si="4"/>
        <v/>
      </c>
      <c r="AQ269" s="1548"/>
      <c r="AR269" s="1548"/>
      <c r="AS269" s="1559">
        <v>0</v>
      </c>
    </row>
    <row r="270" spans="1:45" s="1745" customFormat="1" ht="21" customHeight="1">
      <c r="A270" s="1287"/>
      <c r="B270" s="1287"/>
      <c r="C270" s="1287"/>
      <c r="D270" s="1287"/>
      <c r="E270" s="4034"/>
      <c r="F270" s="4034" t="s">
        <v>168</v>
      </c>
      <c r="G270" s="4034"/>
      <c r="H270" s="4034"/>
      <c r="I270" s="4036"/>
      <c r="J270" s="4035" t="str">
        <f>I269&amp;".1"</f>
        <v>1.17.1.1.1.1</v>
      </c>
      <c r="K270" s="1287"/>
      <c r="L270" s="1293" t="s">
        <v>614</v>
      </c>
      <c r="M270" s="1290"/>
      <c r="N270" s="1290"/>
      <c r="O270" s="1672"/>
      <c r="P270" s="4037"/>
      <c r="Q270" s="4037">
        <v>1</v>
      </c>
      <c r="R270" s="291"/>
      <c r="S270" s="1972" t="str">
        <f>$J270</f>
        <v>1.17.1.1.1.1</v>
      </c>
      <c r="T270" s="221" t="s">
        <v>615</v>
      </c>
      <c r="U270" s="235"/>
      <c r="V270" s="4021"/>
      <c r="W270" s="4022"/>
      <c r="X270" s="4022"/>
      <c r="Y270" s="4022"/>
      <c r="Z270" s="4022"/>
      <c r="AA270" s="4022"/>
      <c r="AB270" s="4022"/>
      <c r="AC270" s="4023"/>
      <c r="AD270" s="4021" t="s">
        <v>654</v>
      </c>
      <c r="AE270" s="4022"/>
      <c r="AF270" s="4022"/>
      <c r="AG270" s="4022"/>
      <c r="AH270" s="4022"/>
      <c r="AI270" s="4022"/>
      <c r="AJ270" s="4022"/>
      <c r="AK270" s="4022"/>
      <c r="AL270" s="4023"/>
      <c r="AM270" s="1182" t="s">
        <v>616</v>
      </c>
      <c r="AN270" s="1566"/>
      <c r="AO270" s="1548"/>
      <c r="AP270" s="1548" t="str">
        <f t="shared" si="4"/>
        <v>Группа потребителей</v>
      </c>
      <c r="AQ270" s="1548"/>
      <c r="AR270" s="1548"/>
      <c r="AS270" s="1559">
        <v>0</v>
      </c>
    </row>
    <row r="271" spans="1:45" s="1745" customFormat="1" ht="21" customHeight="1">
      <c r="A271" s="1287"/>
      <c r="B271" s="1287"/>
      <c r="C271" s="1287"/>
      <c r="D271" s="1287"/>
      <c r="E271" s="4034"/>
      <c r="F271" s="4034" t="s">
        <v>168</v>
      </c>
      <c r="G271" s="4034"/>
      <c r="H271" s="4034"/>
      <c r="I271" s="4036"/>
      <c r="J271" s="4036"/>
      <c r="K271" s="4035" t="str">
        <f>J270&amp;".1"</f>
        <v>1.17.1.1.1.1.1</v>
      </c>
      <c r="L271" s="1293" t="s">
        <v>617</v>
      </c>
      <c r="M271" s="1290"/>
      <c r="N271" s="1290"/>
      <c r="O271" s="1290"/>
      <c r="P271" s="4037"/>
      <c r="Q271" s="4037"/>
      <c r="R271" s="291">
        <v>1</v>
      </c>
      <c r="S271" s="1972" t="str">
        <f>$K271</f>
        <v>1.17.1.1.1.1.1</v>
      </c>
      <c r="T271" s="1271" t="s">
        <v>656</v>
      </c>
      <c r="U271" s="235"/>
      <c r="V271" s="685"/>
      <c r="W271" s="260"/>
      <c r="X271" s="685"/>
      <c r="Y271" s="1181"/>
      <c r="Z271" s="4038"/>
      <c r="AA271" s="3899" t="s">
        <v>53</v>
      </c>
      <c r="AB271" s="4038"/>
      <c r="AC271" s="3899" t="s">
        <v>53</v>
      </c>
      <c r="AD271" s="685">
        <v>476.86</v>
      </c>
      <c r="AE271" s="260"/>
      <c r="AF271" s="685"/>
      <c r="AG271" s="1181"/>
      <c r="AH271" s="4038">
        <v>46023.43546296296</v>
      </c>
      <c r="AI271" s="3899" t="s">
        <v>53</v>
      </c>
      <c r="AJ271" s="4038">
        <v>46387.435578703706</v>
      </c>
      <c r="AK271" s="3899" t="s">
        <v>53</v>
      </c>
      <c r="AL271" s="260"/>
      <c r="AM271" s="4056" t="s">
        <v>618</v>
      </c>
      <c r="AN271" s="1566" t="e">
        <f ca="1">STRCHECKDATE(V272:AL272)</f>
        <v>#NAME?</v>
      </c>
      <c r="AO271" s="1548"/>
      <c r="AP271" s="1548" t="str">
        <f t="shared" si="4"/>
        <v>вода</v>
      </c>
      <c r="AQ271" s="1548"/>
      <c r="AR271" s="1548"/>
      <c r="AS271" s="1559">
        <v>0</v>
      </c>
    </row>
    <row r="272" spans="1:45" s="1745" customFormat="1" ht="0.75" customHeight="1">
      <c r="A272" s="1287"/>
      <c r="B272" s="1287"/>
      <c r="C272" s="1287"/>
      <c r="D272" s="1287"/>
      <c r="E272" s="4034"/>
      <c r="F272" s="4034" t="s">
        <v>168</v>
      </c>
      <c r="G272" s="4034"/>
      <c r="H272" s="4034"/>
      <c r="I272" s="4036"/>
      <c r="J272" s="4036"/>
      <c r="K272" s="4035"/>
      <c r="L272" s="1293"/>
      <c r="M272" s="1290"/>
      <c r="N272" s="1290"/>
      <c r="O272" s="1290"/>
      <c r="P272" s="4037"/>
      <c r="Q272" s="4037"/>
      <c r="R272" s="291"/>
      <c r="S272" s="1978"/>
      <c r="T272" s="235"/>
      <c r="U272" s="235"/>
      <c r="V272" s="260"/>
      <c r="W272" s="260"/>
      <c r="X272" s="260"/>
      <c r="Y272" s="263" t="str">
        <f>Z271&amp;"-"&amp;AB271</f>
        <v>-</v>
      </c>
      <c r="Z272" s="4039"/>
      <c r="AA272" s="3899"/>
      <c r="AB272" s="4039"/>
      <c r="AC272" s="3899"/>
      <c r="AD272" s="260"/>
      <c r="AE272" s="260"/>
      <c r="AF272" s="260"/>
      <c r="AG272" s="263" t="str">
        <f>AH271&amp;"-"&amp;AJ271</f>
        <v>46023,435462963-46387,4355787037</v>
      </c>
      <c r="AH272" s="4039"/>
      <c r="AI272" s="3899"/>
      <c r="AJ272" s="4039"/>
      <c r="AK272" s="3899"/>
      <c r="AL272" s="260"/>
      <c r="AM272" s="4057"/>
      <c r="AN272" s="1566"/>
      <c r="AO272" s="1548"/>
      <c r="AP272" s="1548" t="str">
        <f t="shared" si="4"/>
        <v/>
      </c>
      <c r="AQ272" s="1548"/>
      <c r="AR272" s="1548"/>
      <c r="AS272" s="1559">
        <v>0</v>
      </c>
    </row>
    <row r="273" spans="1:45" s="1745" customFormat="1" ht="15" customHeight="1">
      <c r="A273" s="1287"/>
      <c r="B273" s="1287"/>
      <c r="C273" s="1287"/>
      <c r="D273" s="1287"/>
      <c r="E273" s="4034"/>
      <c r="F273" s="4034" t="s">
        <v>168</v>
      </c>
      <c r="G273" s="4034"/>
      <c r="H273" s="4034"/>
      <c r="I273" s="4036"/>
      <c r="J273" s="4035"/>
      <c r="K273" s="1287"/>
      <c r="L273" s="1293"/>
      <c r="M273" s="1290"/>
      <c r="N273" s="1290"/>
      <c r="O273" s="1672"/>
      <c r="P273" s="4037"/>
      <c r="Q273" s="4037"/>
      <c r="R273" s="290"/>
      <c r="S273" s="3660"/>
      <c r="T273" s="3661" t="s">
        <v>619</v>
      </c>
      <c r="U273" s="3662"/>
      <c r="V273" s="3663"/>
      <c r="W273" s="3664"/>
      <c r="X273" s="3665"/>
      <c r="Y273" s="3666"/>
      <c r="Z273" s="3667"/>
      <c r="AA273" s="3668"/>
      <c r="AB273" s="3669"/>
      <c r="AC273" s="3670"/>
      <c r="AD273" s="3671"/>
      <c r="AE273" s="3672"/>
      <c r="AF273" s="3673"/>
      <c r="AG273" s="3674"/>
      <c r="AH273" s="3675"/>
      <c r="AI273" s="3676"/>
      <c r="AJ273" s="3677"/>
      <c r="AK273" s="3678"/>
      <c r="AL273" s="3679"/>
      <c r="AM273" s="4058"/>
      <c r="AN273" s="1566"/>
      <c r="AO273" s="1548"/>
      <c r="AP273" s="1548" t="str">
        <f t="shared" si="4"/>
        <v>Добавить вид теплоносителя (параметры теплоносителя)</v>
      </c>
      <c r="AQ273" s="1548"/>
      <c r="AR273" s="1548"/>
      <c r="AS273" s="1559">
        <v>0</v>
      </c>
    </row>
    <row r="274" spans="1:45" s="1745" customFormat="1" ht="15" customHeight="1">
      <c r="A274" s="1287"/>
      <c r="B274" s="1287"/>
      <c r="C274" s="1287"/>
      <c r="D274" s="1287"/>
      <c r="E274" s="4034"/>
      <c r="F274" s="4034" t="s">
        <v>168</v>
      </c>
      <c r="G274" s="4034"/>
      <c r="H274" s="4034"/>
      <c r="I274" s="4035"/>
      <c r="J274" s="1287"/>
      <c r="K274" s="1287"/>
      <c r="L274" s="1293"/>
      <c r="M274" s="1290"/>
      <c r="N274" s="1672"/>
      <c r="O274" s="1672"/>
      <c r="P274" s="4037"/>
      <c r="Q274" s="1974"/>
      <c r="R274" s="290"/>
      <c r="S274" s="3680"/>
      <c r="T274" s="3681" t="s">
        <v>620</v>
      </c>
      <c r="U274" s="3682"/>
      <c r="V274" s="3683"/>
      <c r="W274" s="3684"/>
      <c r="X274" s="3685"/>
      <c r="Y274" s="3686"/>
      <c r="Z274" s="3687"/>
      <c r="AA274" s="3688"/>
      <c r="AB274" s="3689"/>
      <c r="AC274" s="3690"/>
      <c r="AD274" s="3691"/>
      <c r="AE274" s="3692"/>
      <c r="AF274" s="3693"/>
      <c r="AG274" s="3694"/>
      <c r="AH274" s="3695"/>
      <c r="AI274" s="3696"/>
      <c r="AJ274" s="3697"/>
      <c r="AK274" s="3698"/>
      <c r="AL274" s="3699"/>
      <c r="AM274" s="3700"/>
      <c r="AN274" s="1566"/>
      <c r="AO274" s="1548"/>
      <c r="AP274" s="1548" t="str">
        <f t="shared" si="4"/>
        <v>Добавить группу потребителей</v>
      </c>
      <c r="AQ274" s="1548"/>
      <c r="AR274" s="1548"/>
      <c r="AS274" s="1559">
        <v>0</v>
      </c>
    </row>
    <row r="275" spans="1:45" s="1745" customFormat="1" ht="14.25" customHeight="1">
      <c r="A275" s="1287"/>
      <c r="B275" s="1287"/>
      <c r="C275" s="1287"/>
      <c r="D275" s="1287"/>
      <c r="E275" s="4034"/>
      <c r="F275" s="4034" t="s">
        <v>168</v>
      </c>
      <c r="G275" s="4034"/>
      <c r="H275" s="4033"/>
      <c r="I275" s="1287"/>
      <c r="J275" s="1287"/>
      <c r="K275" s="1287"/>
      <c r="L275" s="1293"/>
      <c r="M275" s="1289"/>
      <c r="N275" s="1289"/>
      <c r="O275" s="1290"/>
      <c r="P275" s="1718"/>
      <c r="Q275" s="309"/>
      <c r="R275" s="289"/>
      <c r="S275" s="1310"/>
      <c r="T275" s="1311"/>
      <c r="U275" s="1312"/>
      <c r="V275" s="1312"/>
      <c r="W275" s="1312"/>
      <c r="X275" s="1312"/>
      <c r="Y275" s="1312"/>
      <c r="Z275" s="1312"/>
      <c r="AA275" s="1312"/>
      <c r="AB275" s="1312"/>
      <c r="AC275" s="1312"/>
      <c r="AD275" s="1312"/>
      <c r="AE275" s="1312"/>
      <c r="AF275" s="1312"/>
      <c r="AG275" s="1312"/>
      <c r="AH275" s="1312"/>
      <c r="AI275" s="1312"/>
      <c r="AJ275" s="1312"/>
      <c r="AK275" s="1312"/>
      <c r="AL275" s="1312"/>
      <c r="AM275" s="1313"/>
      <c r="AN275" s="1566"/>
      <c r="AO275" s="1548"/>
      <c r="AP275" s="1548" t="str">
        <f t="shared" si="4"/>
        <v/>
      </c>
      <c r="AQ275" s="1548"/>
      <c r="AR275" s="1548"/>
      <c r="AS275" s="1559">
        <v>0</v>
      </c>
    </row>
    <row r="276" spans="1:45" s="556" customFormat="1" ht="0.75" customHeight="1">
      <c r="A276" s="1267"/>
      <c r="B276" s="1267"/>
      <c r="C276" s="1267"/>
      <c r="D276" s="1267"/>
      <c r="E276" s="4034"/>
      <c r="F276" s="4034" t="s">
        <v>168</v>
      </c>
      <c r="G276" s="4033"/>
      <c r="H276" s="1267"/>
      <c r="I276" s="1267"/>
      <c r="J276" s="1267"/>
      <c r="K276" s="1267"/>
      <c r="L276" s="1469"/>
      <c r="M276" s="1239"/>
      <c r="N276" s="1239"/>
      <c r="O276" s="1566"/>
      <c r="P276" s="1240"/>
      <c r="Q276" s="1268"/>
      <c r="R276" s="1240"/>
      <c r="S276" s="1242"/>
      <c r="T276" s="1243" t="s">
        <v>235</v>
      </c>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566"/>
      <c r="AO276" s="1548"/>
      <c r="AP276" s="1548" t="str">
        <f t="shared" si="4"/>
        <v>Добавить источник для дифференциации</v>
      </c>
      <c r="AQ276" s="1548"/>
      <c r="AR276" s="1548"/>
      <c r="AS276" s="1566">
        <v>0</v>
      </c>
    </row>
    <row r="277" spans="1:45" s="1745" customFormat="1" ht="23.25" customHeight="1">
      <c r="A277" s="1287"/>
      <c r="B277" s="1287"/>
      <c r="C277" s="1287" t="s">
        <v>367</v>
      </c>
      <c r="D277" s="1287"/>
      <c r="E277" s="4034"/>
      <c r="F277" s="4034"/>
      <c r="G277" s="4033" t="s">
        <v>89</v>
      </c>
      <c r="H277" s="1287"/>
      <c r="I277" s="1287"/>
      <c r="J277" s="1287"/>
      <c r="K277" s="1287"/>
      <c r="L277" s="1293"/>
      <c r="M277" s="1289"/>
      <c r="N277" s="1289"/>
      <c r="O277" s="1289"/>
      <c r="P277" s="288"/>
      <c r="Q277" s="286"/>
      <c r="R277" s="287"/>
      <c r="S277" s="1972" t="str">
        <f>INDEX(PT_DIFFERENTIATION_NUM_CS,MATCH(C277,PT_DIFFERENTIATION_CS_ID,0))</f>
        <v>1.17.2</v>
      </c>
      <c r="T277" s="244" t="s">
        <v>607</v>
      </c>
      <c r="U277" s="235"/>
      <c r="V277" s="4027"/>
      <c r="W277" s="4028"/>
      <c r="X277" s="4028"/>
      <c r="Y277" s="4028"/>
      <c r="Z277" s="4028"/>
      <c r="AA277" s="4028"/>
      <c r="AB277" s="4028"/>
      <c r="AC277" s="4029"/>
      <c r="AD277" s="4027" t="str">
        <f>INDEX(PT_DIFFERENTIATION_CS,MATCH(C277,PT_DIFFERENTIATION_CS_ID,0))</f>
        <v xml:space="preserve">котельная  д. Сметанино
</v>
      </c>
      <c r="AE277" s="4028"/>
      <c r="AF277" s="4028"/>
      <c r="AG277" s="4028"/>
      <c r="AH277" s="4028"/>
      <c r="AI277" s="4028"/>
      <c r="AJ277" s="4028"/>
      <c r="AK277" s="4028"/>
      <c r="AL277" s="4029"/>
      <c r="AM277" s="1182" t="s">
        <v>608</v>
      </c>
      <c r="AN277" s="1566"/>
      <c r="AO277" s="1548"/>
      <c r="AP277" s="1548" t="str">
        <f t="shared" si="4"/>
        <v xml:space="preserve">Наименование системы теплоснабжения </v>
      </c>
      <c r="AQ277" s="1548"/>
      <c r="AR277" s="1548"/>
      <c r="AS277" s="1559">
        <v>0</v>
      </c>
    </row>
    <row r="278" spans="1:45" s="1745" customFormat="1" ht="21" customHeight="1">
      <c r="A278" s="1287"/>
      <c r="B278" s="1287"/>
      <c r="C278" s="1287"/>
      <c r="D278" s="1287" t="s">
        <v>368</v>
      </c>
      <c r="E278" s="4034"/>
      <c r="F278" s="4034"/>
      <c r="G278" s="4034">
        <v>1</v>
      </c>
      <c r="H278" s="4033">
        <v>1</v>
      </c>
      <c r="I278" s="1287"/>
      <c r="J278" s="1287"/>
      <c r="K278" s="1287"/>
      <c r="L278" s="1293"/>
      <c r="M278" s="1289"/>
      <c r="N278" s="1289"/>
      <c r="O278" s="1289"/>
      <c r="P278" s="288"/>
      <c r="Q278" s="286"/>
      <c r="R278" s="287"/>
      <c r="S278" s="1972" t="str">
        <f>INDEX(PT_DIFFERENTIATION_NUM_IST_TE,MATCH(D278,PT_DIFFERENTIATION_IST_TE_ID,0))</f>
        <v>1.17.2.1</v>
      </c>
      <c r="T278" s="245" t="s">
        <v>609</v>
      </c>
      <c r="U278" s="235"/>
      <c r="V278" s="4027"/>
      <c r="W278" s="4028"/>
      <c r="X278" s="4028"/>
      <c r="Y278" s="4028"/>
      <c r="Z278" s="4028"/>
      <c r="AA278" s="4028"/>
      <c r="AB278" s="4028"/>
      <c r="AC278" s="4029"/>
      <c r="AD278" s="4027" t="str">
        <f>INDEX(PT_DIFFERENTIATION_IST_TE,MATCH(D278,PT_DIFFERENTIATION_IST_TE_ID,0))</f>
        <v>без дифференциации</v>
      </c>
      <c r="AE278" s="4028"/>
      <c r="AF278" s="4028"/>
      <c r="AG278" s="4028"/>
      <c r="AH278" s="4028"/>
      <c r="AI278" s="4028"/>
      <c r="AJ278" s="4028"/>
      <c r="AK278" s="4028"/>
      <c r="AL278" s="4029"/>
      <c r="AM278" s="1182" t="s">
        <v>610</v>
      </c>
      <c r="AN278" s="1566"/>
      <c r="AO278" s="1548"/>
      <c r="AP278" s="1548" t="str">
        <f t="shared" si="4"/>
        <v xml:space="preserve">Источник тепловой энергии  </v>
      </c>
      <c r="AQ278" s="1548"/>
      <c r="AR278" s="1548"/>
      <c r="AS278" s="1559">
        <v>0</v>
      </c>
    </row>
    <row r="279" spans="1:45" s="1745" customFormat="1" ht="14.25" customHeight="1">
      <c r="A279" s="1287"/>
      <c r="B279" s="1287"/>
      <c r="C279" s="1287"/>
      <c r="D279" s="1287"/>
      <c r="E279" s="4034"/>
      <c r="F279" s="4034"/>
      <c r="G279" s="4034">
        <v>1</v>
      </c>
      <c r="H279" s="4034"/>
      <c r="I279" s="4035" t="str">
        <f>S278&amp;".1"</f>
        <v>1.17.2.1.1</v>
      </c>
      <c r="J279" s="1287"/>
      <c r="K279" s="1287"/>
      <c r="L279" s="1293" t="s">
        <v>611</v>
      </c>
      <c r="M279" s="1290"/>
      <c r="N279" s="1672"/>
      <c r="O279" s="1672"/>
      <c r="P279" s="4037">
        <v>1</v>
      </c>
      <c r="Q279" s="1974"/>
      <c r="R279" s="290"/>
      <c r="S279" s="1973"/>
      <c r="T279" s="1307"/>
      <c r="U279" s="1308"/>
      <c r="V279" s="4064"/>
      <c r="W279" s="4065"/>
      <c r="X279" s="4065"/>
      <c r="Y279" s="4065"/>
      <c r="Z279" s="4065"/>
      <c r="AA279" s="4065"/>
      <c r="AB279" s="4065"/>
      <c r="AC279" s="4066"/>
      <c r="AD279" s="4064"/>
      <c r="AE279" s="4065"/>
      <c r="AF279" s="4065"/>
      <c r="AG279" s="4065"/>
      <c r="AH279" s="4065"/>
      <c r="AI279" s="4065"/>
      <c r="AJ279" s="4065"/>
      <c r="AK279" s="4065"/>
      <c r="AL279" s="4066"/>
      <c r="AM279" s="1309"/>
      <c r="AN279" s="1566"/>
      <c r="AO279" s="1548"/>
      <c r="AP279" s="1548" t="str">
        <f t="shared" si="4"/>
        <v/>
      </c>
      <c r="AQ279" s="1548"/>
      <c r="AR279" s="1548"/>
      <c r="AS279" s="1559">
        <v>0</v>
      </c>
    </row>
    <row r="280" spans="1:45" s="1745" customFormat="1" ht="21" customHeight="1">
      <c r="A280" s="1287"/>
      <c r="B280" s="1287"/>
      <c r="C280" s="1287"/>
      <c r="D280" s="1287"/>
      <c r="E280" s="4034"/>
      <c r="F280" s="4034"/>
      <c r="G280" s="4034">
        <v>1</v>
      </c>
      <c r="H280" s="4034"/>
      <c r="I280" s="4036"/>
      <c r="J280" s="4035" t="str">
        <f>I279&amp;".1"</f>
        <v>1.17.2.1.1.1</v>
      </c>
      <c r="K280" s="1287"/>
      <c r="L280" s="1293" t="s">
        <v>614</v>
      </c>
      <c r="M280" s="1290"/>
      <c r="N280" s="1290"/>
      <c r="O280" s="1672"/>
      <c r="P280" s="4037"/>
      <c r="Q280" s="4037">
        <v>1</v>
      </c>
      <c r="R280" s="291"/>
      <c r="S280" s="1972" t="str">
        <f>$J280</f>
        <v>1.17.2.1.1.1</v>
      </c>
      <c r="T280" s="221" t="s">
        <v>615</v>
      </c>
      <c r="U280" s="235"/>
      <c r="V280" s="4021"/>
      <c r="W280" s="4022"/>
      <c r="X280" s="4022"/>
      <c r="Y280" s="4022"/>
      <c r="Z280" s="4022"/>
      <c r="AA280" s="4022"/>
      <c r="AB280" s="4022"/>
      <c r="AC280" s="4023"/>
      <c r="AD280" s="4021" t="s">
        <v>654</v>
      </c>
      <c r="AE280" s="4022"/>
      <c r="AF280" s="4022"/>
      <c r="AG280" s="4022"/>
      <c r="AH280" s="4022"/>
      <c r="AI280" s="4022"/>
      <c r="AJ280" s="4022"/>
      <c r="AK280" s="4022"/>
      <c r="AL280" s="4023"/>
      <c r="AM280" s="1182" t="s">
        <v>616</v>
      </c>
      <c r="AN280" s="1566"/>
      <c r="AO280" s="1548"/>
      <c r="AP280" s="1548" t="str">
        <f t="shared" si="4"/>
        <v>Группа потребителей</v>
      </c>
      <c r="AQ280" s="1548"/>
      <c r="AR280" s="1548"/>
      <c r="AS280" s="1559">
        <v>0</v>
      </c>
    </row>
    <row r="281" spans="1:45" s="1745" customFormat="1" ht="21" customHeight="1">
      <c r="A281" s="1287"/>
      <c r="B281" s="1287"/>
      <c r="C281" s="1287"/>
      <c r="D281" s="1287"/>
      <c r="E281" s="4034"/>
      <c r="F281" s="4034"/>
      <c r="G281" s="4034">
        <v>1</v>
      </c>
      <c r="H281" s="4034"/>
      <c r="I281" s="4036"/>
      <c r="J281" s="4036"/>
      <c r="K281" s="4035" t="str">
        <f>J280&amp;".1"</f>
        <v>1.17.2.1.1.1.1</v>
      </c>
      <c r="L281" s="1293" t="s">
        <v>617</v>
      </c>
      <c r="M281" s="1290"/>
      <c r="N281" s="1290"/>
      <c r="O281" s="1290"/>
      <c r="P281" s="4037"/>
      <c r="Q281" s="4037"/>
      <c r="R281" s="291">
        <v>1</v>
      </c>
      <c r="S281" s="1972" t="str">
        <f>$K281</f>
        <v>1.17.2.1.1.1.1</v>
      </c>
      <c r="T281" s="1271" t="s">
        <v>656</v>
      </c>
      <c r="U281" s="235"/>
      <c r="V281" s="685"/>
      <c r="W281" s="260"/>
      <c r="X281" s="685"/>
      <c r="Y281" s="1181"/>
      <c r="Z281" s="4038"/>
      <c r="AA281" s="3899" t="s">
        <v>53</v>
      </c>
      <c r="AB281" s="4038"/>
      <c r="AC281" s="3899" t="s">
        <v>53</v>
      </c>
      <c r="AD281" s="685">
        <v>384.47</v>
      </c>
      <c r="AE281" s="260"/>
      <c r="AF281" s="685"/>
      <c r="AG281" s="1181"/>
      <c r="AH281" s="4038">
        <v>46023.458877314813</v>
      </c>
      <c r="AI281" s="3899" t="s">
        <v>53</v>
      </c>
      <c r="AJ281" s="4038">
        <v>46387.45894675926</v>
      </c>
      <c r="AK281" s="3899" t="s">
        <v>53</v>
      </c>
      <c r="AL281" s="260"/>
      <c r="AM281" s="4056" t="s">
        <v>618</v>
      </c>
      <c r="AN281" s="1566" t="e">
        <f ca="1">STRCHECKDATE(V282:AL282)</f>
        <v>#NAME?</v>
      </c>
      <c r="AO281" s="1548"/>
      <c r="AP281" s="1548" t="str">
        <f t="shared" si="4"/>
        <v>вода</v>
      </c>
      <c r="AQ281" s="1548"/>
      <c r="AR281" s="1548"/>
      <c r="AS281" s="1559">
        <v>0</v>
      </c>
    </row>
    <row r="282" spans="1:45" s="1745" customFormat="1" ht="0.75" customHeight="1">
      <c r="A282" s="1287"/>
      <c r="B282" s="1287"/>
      <c r="C282" s="1287"/>
      <c r="D282" s="1287"/>
      <c r="E282" s="4034"/>
      <c r="F282" s="4034"/>
      <c r="G282" s="4034">
        <v>1</v>
      </c>
      <c r="H282" s="4034"/>
      <c r="I282" s="4036"/>
      <c r="J282" s="4036"/>
      <c r="K282" s="4035"/>
      <c r="L282" s="1293"/>
      <c r="M282" s="1290"/>
      <c r="N282" s="1290"/>
      <c r="O282" s="1290"/>
      <c r="P282" s="4037"/>
      <c r="Q282" s="4037"/>
      <c r="R282" s="291"/>
      <c r="S282" s="1978"/>
      <c r="T282" s="235"/>
      <c r="U282" s="235"/>
      <c r="V282" s="260"/>
      <c r="W282" s="260"/>
      <c r="X282" s="260"/>
      <c r="Y282" s="263" t="str">
        <f>Z281&amp;"-"&amp;AB281</f>
        <v>-</v>
      </c>
      <c r="Z282" s="4039"/>
      <c r="AA282" s="3899"/>
      <c r="AB282" s="4039"/>
      <c r="AC282" s="3899"/>
      <c r="AD282" s="260"/>
      <c r="AE282" s="260"/>
      <c r="AF282" s="260"/>
      <c r="AG282" s="263" t="str">
        <f>AH281&amp;"-"&amp;AJ281</f>
        <v>46023,4588773148-46387,4589467593</v>
      </c>
      <c r="AH282" s="4039"/>
      <c r="AI282" s="3899"/>
      <c r="AJ282" s="4039"/>
      <c r="AK282" s="3899"/>
      <c r="AL282" s="260"/>
      <c r="AM282" s="4057"/>
      <c r="AN282" s="1566"/>
      <c r="AO282" s="1548"/>
      <c r="AP282" s="1548" t="str">
        <f t="shared" si="4"/>
        <v/>
      </c>
      <c r="AQ282" s="1548"/>
      <c r="AR282" s="1548"/>
      <c r="AS282" s="1559">
        <v>0</v>
      </c>
    </row>
    <row r="283" spans="1:45" s="1745" customFormat="1" ht="15" customHeight="1">
      <c r="A283" s="1287"/>
      <c r="B283" s="1287"/>
      <c r="C283" s="1287"/>
      <c r="D283" s="1287"/>
      <c r="E283" s="4034"/>
      <c r="F283" s="4034"/>
      <c r="G283" s="4034">
        <v>1</v>
      </c>
      <c r="H283" s="4034"/>
      <c r="I283" s="4036"/>
      <c r="J283" s="4035"/>
      <c r="K283" s="1287"/>
      <c r="L283" s="1293"/>
      <c r="M283" s="1290"/>
      <c r="N283" s="1290"/>
      <c r="O283" s="1672"/>
      <c r="P283" s="4037"/>
      <c r="Q283" s="4037"/>
      <c r="R283" s="290"/>
      <c r="S283" s="3787"/>
      <c r="T283" s="3788" t="s">
        <v>619</v>
      </c>
      <c r="U283" s="3789"/>
      <c r="V283" s="3790"/>
      <c r="W283" s="3791"/>
      <c r="X283" s="3792"/>
      <c r="Y283" s="3793"/>
      <c r="Z283" s="3794"/>
      <c r="AA283" s="3795"/>
      <c r="AB283" s="3796"/>
      <c r="AC283" s="3797"/>
      <c r="AD283" s="3798"/>
      <c r="AE283" s="3799"/>
      <c r="AF283" s="3800"/>
      <c r="AG283" s="3801"/>
      <c r="AH283" s="3802"/>
      <c r="AI283" s="3803"/>
      <c r="AJ283" s="3804"/>
      <c r="AK283" s="3805"/>
      <c r="AL283" s="3806"/>
      <c r="AM283" s="4058"/>
      <c r="AN283" s="1566"/>
      <c r="AO283" s="1548"/>
      <c r="AP283" s="1548" t="str">
        <f t="shared" si="4"/>
        <v>Добавить вид теплоносителя (параметры теплоносителя)</v>
      </c>
      <c r="AQ283" s="1548"/>
      <c r="AR283" s="1548"/>
      <c r="AS283" s="1559">
        <v>0</v>
      </c>
    </row>
    <row r="284" spans="1:45" s="1745" customFormat="1" ht="15" customHeight="1">
      <c r="A284" s="1287"/>
      <c r="B284" s="1287"/>
      <c r="C284" s="1287"/>
      <c r="D284" s="1287"/>
      <c r="E284" s="4034"/>
      <c r="F284" s="4034"/>
      <c r="G284" s="4034">
        <v>1</v>
      </c>
      <c r="H284" s="4034"/>
      <c r="I284" s="4035"/>
      <c r="J284" s="1287"/>
      <c r="K284" s="1287"/>
      <c r="L284" s="1293"/>
      <c r="M284" s="1290"/>
      <c r="N284" s="1672"/>
      <c r="O284" s="1672"/>
      <c r="P284" s="4037"/>
      <c r="Q284" s="1974"/>
      <c r="R284" s="290"/>
      <c r="S284" s="3807"/>
      <c r="T284" s="3808" t="s">
        <v>620</v>
      </c>
      <c r="U284" s="3809"/>
      <c r="V284" s="3810"/>
      <c r="W284" s="3811"/>
      <c r="X284" s="3812"/>
      <c r="Y284" s="3813"/>
      <c r="Z284" s="3814"/>
      <c r="AA284" s="3815"/>
      <c r="AB284" s="3816"/>
      <c r="AC284" s="3817"/>
      <c r="AD284" s="3818"/>
      <c r="AE284" s="3819"/>
      <c r="AF284" s="3820"/>
      <c r="AG284" s="3821"/>
      <c r="AH284" s="3822"/>
      <c r="AI284" s="3823"/>
      <c r="AJ284" s="3824"/>
      <c r="AK284" s="3825"/>
      <c r="AL284" s="3826"/>
      <c r="AM284" s="3827"/>
      <c r="AN284" s="1566"/>
      <c r="AO284" s="1548"/>
      <c r="AP284" s="1548" t="str">
        <f t="shared" si="4"/>
        <v>Добавить группу потребителей</v>
      </c>
      <c r="AQ284" s="1548"/>
      <c r="AR284" s="1548"/>
      <c r="AS284" s="1559">
        <v>0</v>
      </c>
    </row>
    <row r="285" spans="1:45" s="1745" customFormat="1" ht="14.25" customHeight="1">
      <c r="A285" s="1287"/>
      <c r="B285" s="1287"/>
      <c r="C285" s="1287"/>
      <c r="D285" s="1287"/>
      <c r="E285" s="4034"/>
      <c r="F285" s="4034"/>
      <c r="G285" s="4034">
        <v>1</v>
      </c>
      <c r="H285" s="4033"/>
      <c r="I285" s="1287"/>
      <c r="J285" s="1287"/>
      <c r="K285" s="1287"/>
      <c r="L285" s="1293"/>
      <c r="M285" s="1289"/>
      <c r="N285" s="1289"/>
      <c r="O285" s="1290"/>
      <c r="P285" s="1718"/>
      <c r="Q285" s="309"/>
      <c r="R285" s="289"/>
      <c r="S285" s="1310"/>
      <c r="T285" s="1311"/>
      <c r="U285" s="1312"/>
      <c r="V285" s="1312"/>
      <c r="W285" s="1312"/>
      <c r="X285" s="1312"/>
      <c r="Y285" s="1312"/>
      <c r="Z285" s="1312"/>
      <c r="AA285" s="1312"/>
      <c r="AB285" s="1312"/>
      <c r="AC285" s="1312"/>
      <c r="AD285" s="1312"/>
      <c r="AE285" s="1312"/>
      <c r="AF285" s="1312"/>
      <c r="AG285" s="1312"/>
      <c r="AH285" s="1312"/>
      <c r="AI285" s="1312"/>
      <c r="AJ285" s="1312"/>
      <c r="AK285" s="1312"/>
      <c r="AL285" s="1312"/>
      <c r="AM285" s="1313"/>
      <c r="AN285" s="1566"/>
      <c r="AO285" s="1548"/>
      <c r="AP285" s="1548" t="str">
        <f t="shared" si="4"/>
        <v/>
      </c>
      <c r="AQ285" s="1548"/>
      <c r="AR285" s="1548"/>
      <c r="AS285" s="1559">
        <v>0</v>
      </c>
    </row>
    <row r="286" spans="1:45" s="556" customFormat="1" ht="0.75" customHeight="1">
      <c r="A286" s="1267"/>
      <c r="B286" s="1267"/>
      <c r="C286" s="1267"/>
      <c r="D286" s="1267"/>
      <c r="E286" s="4034"/>
      <c r="F286" s="4034"/>
      <c r="G286" s="4033">
        <v>1</v>
      </c>
      <c r="H286" s="1267"/>
      <c r="I286" s="1267"/>
      <c r="J286" s="1267"/>
      <c r="K286" s="1267"/>
      <c r="L286" s="1469"/>
      <c r="M286" s="1239"/>
      <c r="N286" s="1239"/>
      <c r="O286" s="1566"/>
      <c r="P286" s="1240"/>
      <c r="Q286" s="1268"/>
      <c r="R286" s="1240"/>
      <c r="S286" s="1242"/>
      <c r="T286" s="1243" t="s">
        <v>235</v>
      </c>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566"/>
      <c r="AO286" s="1548"/>
      <c r="AP286" s="1548" t="str">
        <f t="shared" si="4"/>
        <v>Добавить источник для дифференциации</v>
      </c>
      <c r="AQ286" s="1548"/>
      <c r="AR286" s="1548"/>
      <c r="AS286" s="1566">
        <v>0</v>
      </c>
    </row>
    <row r="287" spans="1:45" s="1745" customFormat="1" ht="23.25" customHeight="1">
      <c r="A287" s="1287"/>
      <c r="B287" s="1287"/>
      <c r="C287" s="1287" t="s">
        <v>369</v>
      </c>
      <c r="D287" s="1287"/>
      <c r="E287" s="4034"/>
      <c r="F287" s="4034"/>
      <c r="G287" s="4033" t="s">
        <v>77</v>
      </c>
      <c r="H287" s="1287"/>
      <c r="I287" s="1287"/>
      <c r="J287" s="1287"/>
      <c r="K287" s="1287"/>
      <c r="L287" s="1293"/>
      <c r="M287" s="1289"/>
      <c r="N287" s="1289"/>
      <c r="O287" s="1289"/>
      <c r="P287" s="288"/>
      <c r="Q287" s="286"/>
      <c r="R287" s="287"/>
      <c r="S287" s="1972" t="str">
        <f>INDEX(PT_DIFFERENTIATION_NUM_CS,MATCH(C287,PT_DIFFERENTIATION_CS_ID,0))</f>
        <v>1.17.3</v>
      </c>
      <c r="T287" s="244" t="s">
        <v>607</v>
      </c>
      <c r="U287" s="235"/>
      <c r="V287" s="4027"/>
      <c r="W287" s="4028"/>
      <c r="X287" s="4028"/>
      <c r="Y287" s="4028"/>
      <c r="Z287" s="4028"/>
      <c r="AA287" s="4028"/>
      <c r="AB287" s="4028"/>
      <c r="AC287" s="4029"/>
      <c r="AD287" s="4027" t="str">
        <f>INDEX(PT_DIFFERENTIATION_CS,MATCH(C287,PT_DIFFERENTIATION_CS_ID,0))</f>
        <v xml:space="preserve">котельная   с. Талашкино
</v>
      </c>
      <c r="AE287" s="4028"/>
      <c r="AF287" s="4028"/>
      <c r="AG287" s="4028"/>
      <c r="AH287" s="4028"/>
      <c r="AI287" s="4028"/>
      <c r="AJ287" s="4028"/>
      <c r="AK287" s="4028"/>
      <c r="AL287" s="4029"/>
      <c r="AM287" s="1182" t="s">
        <v>608</v>
      </c>
      <c r="AN287" s="1566"/>
      <c r="AO287" s="1548"/>
      <c r="AP287" s="1548" t="str">
        <f t="shared" si="4"/>
        <v xml:space="preserve">Наименование системы теплоснабжения </v>
      </c>
      <c r="AQ287" s="1548"/>
      <c r="AR287" s="1548"/>
      <c r="AS287" s="1559">
        <v>0</v>
      </c>
    </row>
    <row r="288" spans="1:45" s="1745" customFormat="1" ht="21" customHeight="1">
      <c r="A288" s="1287"/>
      <c r="B288" s="1287"/>
      <c r="C288" s="1287"/>
      <c r="D288" s="1287" t="s">
        <v>370</v>
      </c>
      <c r="E288" s="4034"/>
      <c r="F288" s="4034"/>
      <c r="G288" s="4034" t="s">
        <v>89</v>
      </c>
      <c r="H288" s="4033">
        <v>1</v>
      </c>
      <c r="I288" s="1287"/>
      <c r="J288" s="1287"/>
      <c r="K288" s="1287"/>
      <c r="L288" s="1293"/>
      <c r="M288" s="1289"/>
      <c r="N288" s="1289"/>
      <c r="O288" s="1289"/>
      <c r="P288" s="288"/>
      <c r="Q288" s="286"/>
      <c r="R288" s="287"/>
      <c r="S288" s="1972" t="str">
        <f>INDEX(PT_DIFFERENTIATION_NUM_IST_TE,MATCH(D288,PT_DIFFERENTIATION_IST_TE_ID,0))</f>
        <v>1.17.3.1</v>
      </c>
      <c r="T288" s="245" t="s">
        <v>609</v>
      </c>
      <c r="U288" s="235"/>
      <c r="V288" s="4027"/>
      <c r="W288" s="4028"/>
      <c r="X288" s="4028"/>
      <c r="Y288" s="4028"/>
      <c r="Z288" s="4028"/>
      <c r="AA288" s="4028"/>
      <c r="AB288" s="4028"/>
      <c r="AC288" s="4029"/>
      <c r="AD288" s="4027" t="str">
        <f>INDEX(PT_DIFFERENTIATION_IST_TE,MATCH(D288,PT_DIFFERENTIATION_IST_TE_ID,0))</f>
        <v>без дифференциации</v>
      </c>
      <c r="AE288" s="4028"/>
      <c r="AF288" s="4028"/>
      <c r="AG288" s="4028"/>
      <c r="AH288" s="4028"/>
      <c r="AI288" s="4028"/>
      <c r="AJ288" s="4028"/>
      <c r="AK288" s="4028"/>
      <c r="AL288" s="4029"/>
      <c r="AM288" s="1182" t="s">
        <v>610</v>
      </c>
      <c r="AN288" s="1566"/>
      <c r="AO288" s="1548"/>
      <c r="AP288" s="1548" t="str">
        <f t="shared" si="4"/>
        <v xml:space="preserve">Источник тепловой энергии  </v>
      </c>
      <c r="AQ288" s="1548"/>
      <c r="AR288" s="1548"/>
      <c r="AS288" s="1559">
        <v>0</v>
      </c>
    </row>
    <row r="289" spans="1:45" s="1745" customFormat="1" ht="14.25" customHeight="1">
      <c r="A289" s="1287"/>
      <c r="B289" s="1287"/>
      <c r="C289" s="1287"/>
      <c r="D289" s="1287"/>
      <c r="E289" s="4034"/>
      <c r="F289" s="4034"/>
      <c r="G289" s="4034" t="s">
        <v>89</v>
      </c>
      <c r="H289" s="4034"/>
      <c r="I289" s="4035" t="str">
        <f>S288&amp;".1"</f>
        <v>1.17.3.1.1</v>
      </c>
      <c r="J289" s="1287"/>
      <c r="K289" s="1287"/>
      <c r="L289" s="1293" t="s">
        <v>611</v>
      </c>
      <c r="M289" s="1290"/>
      <c r="N289" s="1672"/>
      <c r="O289" s="1672"/>
      <c r="P289" s="4037">
        <v>1</v>
      </c>
      <c r="Q289" s="1974"/>
      <c r="R289" s="290"/>
      <c r="S289" s="1973"/>
      <c r="T289" s="1307"/>
      <c r="U289" s="1308"/>
      <c r="V289" s="4064"/>
      <c r="W289" s="4065"/>
      <c r="X289" s="4065"/>
      <c r="Y289" s="4065"/>
      <c r="Z289" s="4065"/>
      <c r="AA289" s="4065"/>
      <c r="AB289" s="4065"/>
      <c r="AC289" s="4066"/>
      <c r="AD289" s="4064"/>
      <c r="AE289" s="4065"/>
      <c r="AF289" s="4065"/>
      <c r="AG289" s="4065"/>
      <c r="AH289" s="4065"/>
      <c r="AI289" s="4065"/>
      <c r="AJ289" s="4065"/>
      <c r="AK289" s="4065"/>
      <c r="AL289" s="4066"/>
      <c r="AM289" s="1309"/>
      <c r="AN289" s="1566"/>
      <c r="AO289" s="1548"/>
      <c r="AP289" s="1548" t="str">
        <f t="shared" si="4"/>
        <v/>
      </c>
      <c r="AQ289" s="1548"/>
      <c r="AR289" s="1548"/>
      <c r="AS289" s="1559">
        <v>0</v>
      </c>
    </row>
    <row r="290" spans="1:45" s="1745" customFormat="1" ht="21" customHeight="1">
      <c r="A290" s="1287"/>
      <c r="B290" s="1287"/>
      <c r="C290" s="1287"/>
      <c r="D290" s="1287"/>
      <c r="E290" s="4034"/>
      <c r="F290" s="4034"/>
      <c r="G290" s="4034" t="s">
        <v>89</v>
      </c>
      <c r="H290" s="4034"/>
      <c r="I290" s="4036"/>
      <c r="J290" s="4035" t="str">
        <f>I289&amp;".1"</f>
        <v>1.17.3.1.1.1</v>
      </c>
      <c r="K290" s="1287"/>
      <c r="L290" s="1293" t="s">
        <v>614</v>
      </c>
      <c r="M290" s="1290"/>
      <c r="N290" s="1290"/>
      <c r="O290" s="1672"/>
      <c r="P290" s="4037"/>
      <c r="Q290" s="4037">
        <v>1</v>
      </c>
      <c r="R290" s="291"/>
      <c r="S290" s="1972" t="str">
        <f>$J290</f>
        <v>1.17.3.1.1.1</v>
      </c>
      <c r="T290" s="221" t="s">
        <v>615</v>
      </c>
      <c r="U290" s="235"/>
      <c r="V290" s="4021"/>
      <c r="W290" s="4022"/>
      <c r="X290" s="4022"/>
      <c r="Y290" s="4022"/>
      <c r="Z290" s="4022"/>
      <c r="AA290" s="4022"/>
      <c r="AB290" s="4022"/>
      <c r="AC290" s="4023"/>
      <c r="AD290" s="4021" t="s">
        <v>654</v>
      </c>
      <c r="AE290" s="4022"/>
      <c r="AF290" s="4022"/>
      <c r="AG290" s="4022"/>
      <c r="AH290" s="4022"/>
      <c r="AI290" s="4022"/>
      <c r="AJ290" s="4022"/>
      <c r="AK290" s="4022"/>
      <c r="AL290" s="4023"/>
      <c r="AM290" s="1182" t="s">
        <v>616</v>
      </c>
      <c r="AN290" s="1566"/>
      <c r="AO290" s="1548"/>
      <c r="AP290" s="1548" t="str">
        <f t="shared" si="4"/>
        <v>Группа потребителей</v>
      </c>
      <c r="AQ290" s="1548"/>
      <c r="AR290" s="1548"/>
      <c r="AS290" s="1559">
        <v>0</v>
      </c>
    </row>
    <row r="291" spans="1:45" s="1745" customFormat="1" ht="21" customHeight="1">
      <c r="A291" s="1287"/>
      <c r="B291" s="1287"/>
      <c r="C291" s="1287"/>
      <c r="D291" s="1287"/>
      <c r="E291" s="4034"/>
      <c r="F291" s="4034"/>
      <c r="G291" s="4034" t="s">
        <v>89</v>
      </c>
      <c r="H291" s="4034"/>
      <c r="I291" s="4036"/>
      <c r="J291" s="4036"/>
      <c r="K291" s="4035" t="str">
        <f>J290&amp;".1"</f>
        <v>1.17.3.1.1.1.1</v>
      </c>
      <c r="L291" s="1293" t="s">
        <v>617</v>
      </c>
      <c r="M291" s="1290"/>
      <c r="N291" s="1290"/>
      <c r="O291" s="1290"/>
      <c r="P291" s="4037"/>
      <c r="Q291" s="4037"/>
      <c r="R291" s="291">
        <v>1</v>
      </c>
      <c r="S291" s="1972" t="str">
        <f>$K291</f>
        <v>1.17.3.1.1.1.1</v>
      </c>
      <c r="T291" s="1271" t="s">
        <v>656</v>
      </c>
      <c r="U291" s="235"/>
      <c r="V291" s="685"/>
      <c r="W291" s="260"/>
      <c r="X291" s="685"/>
      <c r="Y291" s="1181"/>
      <c r="Z291" s="4038"/>
      <c r="AA291" s="3899" t="s">
        <v>53</v>
      </c>
      <c r="AB291" s="4038"/>
      <c r="AC291" s="3899" t="s">
        <v>53</v>
      </c>
      <c r="AD291" s="685">
        <v>264.31</v>
      </c>
      <c r="AE291" s="260"/>
      <c r="AF291" s="685"/>
      <c r="AG291" s="1181"/>
      <c r="AH291" s="4038">
        <v>46023.458703703705</v>
      </c>
      <c r="AI291" s="3899" t="s">
        <v>53</v>
      </c>
      <c r="AJ291" s="4038">
        <v>46387.458796296298</v>
      </c>
      <c r="AK291" s="3899" t="s">
        <v>53</v>
      </c>
      <c r="AL291" s="260"/>
      <c r="AM291" s="4056" t="s">
        <v>618</v>
      </c>
      <c r="AN291" s="1566" t="e">
        <f ca="1">STRCHECKDATE(V292:AL292)</f>
        <v>#NAME?</v>
      </c>
      <c r="AO291" s="1548"/>
      <c r="AP291" s="1548" t="str">
        <f t="shared" si="4"/>
        <v>вода</v>
      </c>
      <c r="AQ291" s="1548"/>
      <c r="AR291" s="1548"/>
      <c r="AS291" s="1559">
        <v>0</v>
      </c>
    </row>
    <row r="292" spans="1:45" s="1745" customFormat="1" ht="0.75" customHeight="1">
      <c r="A292" s="1287"/>
      <c r="B292" s="1287"/>
      <c r="C292" s="1287"/>
      <c r="D292" s="1287"/>
      <c r="E292" s="4034"/>
      <c r="F292" s="4034"/>
      <c r="G292" s="4034" t="s">
        <v>89</v>
      </c>
      <c r="H292" s="4034"/>
      <c r="I292" s="4036"/>
      <c r="J292" s="4036"/>
      <c r="K292" s="4035"/>
      <c r="L292" s="1293"/>
      <c r="M292" s="1290"/>
      <c r="N292" s="1290"/>
      <c r="O292" s="1290"/>
      <c r="P292" s="4037"/>
      <c r="Q292" s="4037"/>
      <c r="R292" s="291"/>
      <c r="S292" s="1978"/>
      <c r="T292" s="235"/>
      <c r="U292" s="235"/>
      <c r="V292" s="260"/>
      <c r="W292" s="260"/>
      <c r="X292" s="260"/>
      <c r="Y292" s="263" t="str">
        <f>Z291&amp;"-"&amp;AB291</f>
        <v>-</v>
      </c>
      <c r="Z292" s="4039"/>
      <c r="AA292" s="3899"/>
      <c r="AB292" s="4039"/>
      <c r="AC292" s="3899"/>
      <c r="AD292" s="260"/>
      <c r="AE292" s="260"/>
      <c r="AF292" s="260"/>
      <c r="AG292" s="263" t="str">
        <f>AH291&amp;"-"&amp;AJ291</f>
        <v>46023,4587037037-46387,4587962963</v>
      </c>
      <c r="AH292" s="4039"/>
      <c r="AI292" s="3899"/>
      <c r="AJ292" s="4039"/>
      <c r="AK292" s="3899"/>
      <c r="AL292" s="260"/>
      <c r="AM292" s="4057"/>
      <c r="AN292" s="1566"/>
      <c r="AO292" s="1548"/>
      <c r="AP292" s="1548" t="str">
        <f t="shared" si="4"/>
        <v/>
      </c>
      <c r="AQ292" s="1548"/>
      <c r="AR292" s="1548"/>
      <c r="AS292" s="1559">
        <v>0</v>
      </c>
    </row>
    <row r="293" spans="1:45" s="1745" customFormat="1" ht="15" customHeight="1">
      <c r="A293" s="1287"/>
      <c r="B293" s="1287"/>
      <c r="C293" s="1287"/>
      <c r="D293" s="1287"/>
      <c r="E293" s="4034"/>
      <c r="F293" s="4034"/>
      <c r="G293" s="4034" t="s">
        <v>89</v>
      </c>
      <c r="H293" s="4034"/>
      <c r="I293" s="4036"/>
      <c r="J293" s="4035"/>
      <c r="K293" s="1287"/>
      <c r="L293" s="1293"/>
      <c r="M293" s="1290"/>
      <c r="N293" s="1290"/>
      <c r="O293" s="1672"/>
      <c r="P293" s="4037"/>
      <c r="Q293" s="4037"/>
      <c r="R293" s="290"/>
      <c r="S293" s="3828"/>
      <c r="T293" s="3829" t="s">
        <v>619</v>
      </c>
      <c r="U293" s="3830"/>
      <c r="V293" s="3831"/>
      <c r="W293" s="3832"/>
      <c r="X293" s="3833"/>
      <c r="Y293" s="3834"/>
      <c r="Z293" s="3835"/>
      <c r="AA293" s="3836"/>
      <c r="AB293" s="3837"/>
      <c r="AC293" s="3838"/>
      <c r="AD293" s="3839"/>
      <c r="AE293" s="3840"/>
      <c r="AF293" s="3841"/>
      <c r="AG293" s="3842"/>
      <c r="AH293" s="3843"/>
      <c r="AI293" s="3844"/>
      <c r="AJ293" s="3845"/>
      <c r="AK293" s="3846"/>
      <c r="AL293" s="3847"/>
      <c r="AM293" s="4058"/>
      <c r="AN293" s="1566"/>
      <c r="AO293" s="1548"/>
      <c r="AP293" s="1548" t="str">
        <f t="shared" si="4"/>
        <v>Добавить вид теплоносителя (параметры теплоносителя)</v>
      </c>
      <c r="AQ293" s="1548"/>
      <c r="AR293" s="1548"/>
      <c r="AS293" s="1559">
        <v>0</v>
      </c>
    </row>
    <row r="294" spans="1:45" s="1745" customFormat="1" ht="15" customHeight="1">
      <c r="A294" s="1287"/>
      <c r="B294" s="1287"/>
      <c r="C294" s="1287"/>
      <c r="D294" s="1287"/>
      <c r="E294" s="4034"/>
      <c r="F294" s="4034"/>
      <c r="G294" s="4034" t="s">
        <v>89</v>
      </c>
      <c r="H294" s="4034"/>
      <c r="I294" s="4035"/>
      <c r="J294" s="1287"/>
      <c r="K294" s="1287"/>
      <c r="L294" s="1293"/>
      <c r="M294" s="1290"/>
      <c r="N294" s="1672"/>
      <c r="O294" s="1672"/>
      <c r="P294" s="4037"/>
      <c r="Q294" s="1974"/>
      <c r="R294" s="290"/>
      <c r="S294" s="3848"/>
      <c r="T294" s="3849" t="s">
        <v>620</v>
      </c>
      <c r="U294" s="3850"/>
      <c r="V294" s="3851"/>
      <c r="W294" s="3852"/>
      <c r="X294" s="3853"/>
      <c r="Y294" s="3854"/>
      <c r="Z294" s="3855"/>
      <c r="AA294" s="3856"/>
      <c r="AB294" s="3857"/>
      <c r="AC294" s="3858"/>
      <c r="AD294" s="3859"/>
      <c r="AE294" s="3860"/>
      <c r="AF294" s="3861"/>
      <c r="AG294" s="3862"/>
      <c r="AH294" s="3863"/>
      <c r="AI294" s="3864"/>
      <c r="AJ294" s="3865"/>
      <c r="AK294" s="3866"/>
      <c r="AL294" s="3867"/>
      <c r="AM294" s="3868"/>
      <c r="AN294" s="1566"/>
      <c r="AO294" s="1548"/>
      <c r="AP294" s="1548" t="str">
        <f t="shared" si="4"/>
        <v>Добавить группу потребителей</v>
      </c>
      <c r="AQ294" s="1548"/>
      <c r="AR294" s="1548"/>
      <c r="AS294" s="1559">
        <v>0</v>
      </c>
    </row>
    <row r="295" spans="1:45" s="1745" customFormat="1" ht="14.25" customHeight="1">
      <c r="A295" s="1287"/>
      <c r="B295" s="1287"/>
      <c r="C295" s="1287"/>
      <c r="D295" s="1287"/>
      <c r="E295" s="4034"/>
      <c r="F295" s="4034"/>
      <c r="G295" s="4034" t="s">
        <v>89</v>
      </c>
      <c r="H295" s="4033"/>
      <c r="I295" s="1287"/>
      <c r="J295" s="1287"/>
      <c r="K295" s="1287"/>
      <c r="L295" s="1293"/>
      <c r="M295" s="1289"/>
      <c r="N295" s="1289"/>
      <c r="O295" s="1290"/>
      <c r="P295" s="1718"/>
      <c r="Q295" s="309"/>
      <c r="R295" s="289"/>
      <c r="S295" s="1310"/>
      <c r="T295" s="1311"/>
      <c r="U295" s="1312"/>
      <c r="V295" s="1312"/>
      <c r="W295" s="1312"/>
      <c r="X295" s="1312"/>
      <c r="Y295" s="1312"/>
      <c r="Z295" s="1312"/>
      <c r="AA295" s="1312"/>
      <c r="AB295" s="1312"/>
      <c r="AC295" s="1312"/>
      <c r="AD295" s="1312"/>
      <c r="AE295" s="1312"/>
      <c r="AF295" s="1312"/>
      <c r="AG295" s="1312"/>
      <c r="AH295" s="1312"/>
      <c r="AI295" s="1312"/>
      <c r="AJ295" s="1312"/>
      <c r="AK295" s="1312"/>
      <c r="AL295" s="1312"/>
      <c r="AM295" s="1313"/>
      <c r="AN295" s="1566"/>
      <c r="AO295" s="1548"/>
      <c r="AP295" s="1548" t="str">
        <f t="shared" si="4"/>
        <v/>
      </c>
      <c r="AQ295" s="1548"/>
      <c r="AR295" s="1548"/>
      <c r="AS295" s="1559">
        <v>0</v>
      </c>
    </row>
    <row r="296" spans="1:45" s="556" customFormat="1" ht="0.75" customHeight="1">
      <c r="A296" s="1267"/>
      <c r="B296" s="1267"/>
      <c r="C296" s="1267"/>
      <c r="D296" s="1267"/>
      <c r="E296" s="4034"/>
      <c r="F296" s="4034"/>
      <c r="G296" s="4033" t="s">
        <v>89</v>
      </c>
      <c r="H296" s="1267"/>
      <c r="I296" s="1267"/>
      <c r="J296" s="1267"/>
      <c r="K296" s="1267"/>
      <c r="L296" s="1469"/>
      <c r="M296" s="1239"/>
      <c r="N296" s="1239"/>
      <c r="O296" s="1566"/>
      <c r="P296" s="1240"/>
      <c r="Q296" s="1268"/>
      <c r="R296" s="1240"/>
      <c r="S296" s="1242"/>
      <c r="T296" s="1243" t="s">
        <v>235</v>
      </c>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566"/>
      <c r="AO296" s="1548"/>
      <c r="AP296" s="1548" t="str">
        <f t="shared" si="4"/>
        <v>Добавить источник для дифференциации</v>
      </c>
      <c r="AQ296" s="1548"/>
      <c r="AR296" s="1548"/>
      <c r="AS296" s="1566">
        <v>0</v>
      </c>
    </row>
    <row r="297" spans="1:45" s="556" customFormat="1" ht="0.75" customHeight="1">
      <c r="A297" s="1267"/>
      <c r="B297" s="1267"/>
      <c r="C297" s="1267"/>
      <c r="D297" s="1267"/>
      <c r="E297" s="4034"/>
      <c r="F297" s="4033" t="s">
        <v>168</v>
      </c>
      <c r="G297" s="1267"/>
      <c r="H297" s="1267"/>
      <c r="I297" s="1267"/>
      <c r="J297" s="1267"/>
      <c r="K297" s="1267"/>
      <c r="L297" s="1469"/>
      <c r="M297" s="1245"/>
      <c r="N297" s="1245"/>
      <c r="O297" s="1566"/>
      <c r="P297" s="1240"/>
      <c r="Q297" s="1268"/>
      <c r="R297" s="1240"/>
      <c r="S297" s="1246"/>
      <c r="T297" s="1247" t="s">
        <v>236</v>
      </c>
      <c r="U297" s="1248"/>
      <c r="V297" s="1248"/>
      <c r="W297" s="1248"/>
      <c r="X297" s="1248"/>
      <c r="Y297" s="1248"/>
      <c r="Z297" s="1248"/>
      <c r="AA297" s="1248"/>
      <c r="AB297" s="1248"/>
      <c r="AC297" s="1248"/>
      <c r="AD297" s="1248"/>
      <c r="AE297" s="1248"/>
      <c r="AF297" s="1248"/>
      <c r="AG297" s="1248"/>
      <c r="AH297" s="1248"/>
      <c r="AI297" s="1248"/>
      <c r="AJ297" s="1248"/>
      <c r="AK297" s="1248"/>
      <c r="AL297" s="1248"/>
      <c r="AM297" s="1248"/>
      <c r="AN297" s="1566"/>
      <c r="AO297" s="1548"/>
      <c r="AP297" s="1548" t="str">
        <f t="shared" si="4"/>
        <v>Добавить централизованную систему для дифференциации</v>
      </c>
      <c r="AQ297" s="1548"/>
      <c r="AR297" s="1548"/>
      <c r="AS297" s="1566">
        <v>0</v>
      </c>
    </row>
    <row r="298" spans="1:45" s="1745" customFormat="1" ht="21" customHeight="1">
      <c r="A298" s="1287"/>
      <c r="B298" s="1287" t="s">
        <v>372</v>
      </c>
      <c r="C298" s="1287"/>
      <c r="D298" s="1287"/>
      <c r="E298" s="4034"/>
      <c r="F298" s="4033" t="s">
        <v>658</v>
      </c>
      <c r="G298" s="1287"/>
      <c r="H298" s="1287"/>
      <c r="I298" s="1287"/>
      <c r="J298" s="1287"/>
      <c r="K298" s="1287"/>
      <c r="L298" s="1293"/>
      <c r="M298" s="1289"/>
      <c r="N298" s="1289"/>
      <c r="O298" s="1289"/>
      <c r="P298" s="1970"/>
      <c r="Q298" s="286"/>
      <c r="R298" s="287"/>
      <c r="S298" s="1972" t="str">
        <f>INDEX(PT_DIFFERENTIATION_NUM_TER,MATCH(B298,PT_DIFFERENTIATION_TER_ID,0))</f>
        <v>1.18</v>
      </c>
      <c r="T298" s="1446" t="s">
        <v>605</v>
      </c>
      <c r="U298" s="235"/>
      <c r="V298" s="4027"/>
      <c r="W298" s="4028"/>
      <c r="X298" s="4028"/>
      <c r="Y298" s="4028"/>
      <c r="Z298" s="4028"/>
      <c r="AA298" s="4028"/>
      <c r="AB298" s="4028"/>
      <c r="AC298" s="4029"/>
      <c r="AD298" s="4027" t="str">
        <f>INDEX(PT_DIFFERENTIATION_TER,MATCH(B298,PT_DIFFERENTIATION_TER_ID,0))</f>
        <v>Территория 9</v>
      </c>
      <c r="AE298" s="4028"/>
      <c r="AF298" s="4028"/>
      <c r="AG298" s="4028"/>
      <c r="AH298" s="4028"/>
      <c r="AI298" s="4028"/>
      <c r="AJ298" s="4028"/>
      <c r="AK298" s="4028"/>
      <c r="AL298" s="4029"/>
      <c r="AM298" s="1182" t="s">
        <v>606</v>
      </c>
      <c r="AN298" s="1566"/>
      <c r="AO298" s="1548"/>
      <c r="AP298" s="1548" t="str">
        <f t="shared" si="4"/>
        <v>Территория действия тарифа</v>
      </c>
      <c r="AQ298" s="1548"/>
      <c r="AR298" s="1548"/>
      <c r="AS298" s="1559">
        <v>0</v>
      </c>
    </row>
    <row r="299" spans="1:45" s="1745" customFormat="1" ht="23.25" customHeight="1">
      <c r="A299" s="1287"/>
      <c r="B299" s="1287"/>
      <c r="C299" s="1287" t="s">
        <v>373</v>
      </c>
      <c r="D299" s="1287"/>
      <c r="E299" s="4034"/>
      <c r="F299" s="4034" t="s">
        <v>659</v>
      </c>
      <c r="G299" s="4033">
        <v>1</v>
      </c>
      <c r="H299" s="1287"/>
      <c r="I299" s="1287"/>
      <c r="J299" s="1287"/>
      <c r="K299" s="1287"/>
      <c r="L299" s="1293"/>
      <c r="M299" s="1289"/>
      <c r="N299" s="1289"/>
      <c r="O299" s="1289"/>
      <c r="P299" s="288"/>
      <c r="Q299" s="286"/>
      <c r="R299" s="287"/>
      <c r="S299" s="1972" t="str">
        <f>INDEX(PT_DIFFERENTIATION_NUM_CS,MATCH(C299,PT_DIFFERENTIATION_CS_ID,0))</f>
        <v>1.18.1</v>
      </c>
      <c r="T299" s="244" t="s">
        <v>607</v>
      </c>
      <c r="U299" s="235"/>
      <c r="V299" s="4027"/>
      <c r="W299" s="4028"/>
      <c r="X299" s="4028"/>
      <c r="Y299" s="4028"/>
      <c r="Z299" s="4028"/>
      <c r="AA299" s="4028"/>
      <c r="AB299" s="4028"/>
      <c r="AC299" s="4029"/>
      <c r="AD299" s="4027" t="str">
        <f>INDEX(PT_DIFFERENTIATION_CS,MATCH(C299,PT_DIFFERENTIATION_CS_ID,0))</f>
        <v>Ярцевский ТУ</v>
      </c>
      <c r="AE299" s="4028"/>
      <c r="AF299" s="4028"/>
      <c r="AG299" s="4028"/>
      <c r="AH299" s="4028"/>
      <c r="AI299" s="4028"/>
      <c r="AJ299" s="4028"/>
      <c r="AK299" s="4028"/>
      <c r="AL299" s="4029"/>
      <c r="AM299" s="1182" t="s">
        <v>608</v>
      </c>
      <c r="AN299" s="1566"/>
      <c r="AO299" s="1548"/>
      <c r="AP299" s="1548" t="str">
        <f t="shared" ref="AP299:AP323" si="5">IF(T299="","",T299)</f>
        <v xml:space="preserve">Наименование системы теплоснабжения </v>
      </c>
      <c r="AQ299" s="1548"/>
      <c r="AR299" s="1548"/>
      <c r="AS299" s="1559">
        <v>0</v>
      </c>
    </row>
    <row r="300" spans="1:45" s="1745" customFormat="1" ht="21" customHeight="1">
      <c r="A300" s="1287"/>
      <c r="B300" s="1287"/>
      <c r="C300" s="1287"/>
      <c r="D300" s="1287" t="s">
        <v>374</v>
      </c>
      <c r="E300" s="4034"/>
      <c r="F300" s="4034" t="s">
        <v>659</v>
      </c>
      <c r="G300" s="4034"/>
      <c r="H300" s="4033">
        <v>1</v>
      </c>
      <c r="I300" s="1287"/>
      <c r="J300" s="1287"/>
      <c r="K300" s="1287"/>
      <c r="L300" s="1293"/>
      <c r="M300" s="1289"/>
      <c r="N300" s="1289"/>
      <c r="O300" s="1289"/>
      <c r="P300" s="288"/>
      <c r="Q300" s="286"/>
      <c r="R300" s="287"/>
      <c r="S300" s="1972" t="str">
        <f>INDEX(PT_DIFFERENTIATION_NUM_IST_TE,MATCH(D300,PT_DIFFERENTIATION_IST_TE_ID,0))</f>
        <v>1.18.1.1</v>
      </c>
      <c r="T300" s="245" t="s">
        <v>609</v>
      </c>
      <c r="U300" s="235"/>
      <c r="V300" s="4027"/>
      <c r="W300" s="4028"/>
      <c r="X300" s="4028"/>
      <c r="Y300" s="4028"/>
      <c r="Z300" s="4028"/>
      <c r="AA300" s="4028"/>
      <c r="AB300" s="4028"/>
      <c r="AC300" s="4029"/>
      <c r="AD300" s="4027" t="str">
        <f>INDEX(PT_DIFFERENTIATION_IST_TE,MATCH(D300,PT_DIFFERENTIATION_IST_TE_ID,0))</f>
        <v>без дифференциации</v>
      </c>
      <c r="AE300" s="4028"/>
      <c r="AF300" s="4028"/>
      <c r="AG300" s="4028"/>
      <c r="AH300" s="4028"/>
      <c r="AI300" s="4028"/>
      <c r="AJ300" s="4028"/>
      <c r="AK300" s="4028"/>
      <c r="AL300" s="4029"/>
      <c r="AM300" s="1182" t="s">
        <v>610</v>
      </c>
      <c r="AN300" s="1566"/>
      <c r="AO300" s="1548"/>
      <c r="AP300" s="1548" t="str">
        <f t="shared" si="5"/>
        <v xml:space="preserve">Источник тепловой энергии  </v>
      </c>
      <c r="AQ300" s="1548"/>
      <c r="AR300" s="1548"/>
      <c r="AS300" s="1559">
        <v>0</v>
      </c>
    </row>
    <row r="301" spans="1:45" s="1745" customFormat="1" ht="14.25" customHeight="1">
      <c r="A301" s="1287"/>
      <c r="B301" s="1287"/>
      <c r="C301" s="1287"/>
      <c r="D301" s="1287"/>
      <c r="E301" s="4034"/>
      <c r="F301" s="4034" t="s">
        <v>659</v>
      </c>
      <c r="G301" s="4034"/>
      <c r="H301" s="4034"/>
      <c r="I301" s="4035" t="str">
        <f>S300&amp;".1"</f>
        <v>1.18.1.1.1</v>
      </c>
      <c r="J301" s="1287"/>
      <c r="K301" s="1287"/>
      <c r="L301" s="1293" t="s">
        <v>611</v>
      </c>
      <c r="M301" s="1290"/>
      <c r="N301" s="1672"/>
      <c r="O301" s="1672"/>
      <c r="P301" s="4037">
        <v>1</v>
      </c>
      <c r="Q301" s="1974"/>
      <c r="R301" s="290"/>
      <c r="S301" s="1973"/>
      <c r="T301" s="1307"/>
      <c r="U301" s="1308"/>
      <c r="V301" s="4064"/>
      <c r="W301" s="4065"/>
      <c r="X301" s="4065"/>
      <c r="Y301" s="4065"/>
      <c r="Z301" s="4065"/>
      <c r="AA301" s="4065"/>
      <c r="AB301" s="4065"/>
      <c r="AC301" s="4066"/>
      <c r="AD301" s="4064"/>
      <c r="AE301" s="4065"/>
      <c r="AF301" s="4065"/>
      <c r="AG301" s="4065"/>
      <c r="AH301" s="4065"/>
      <c r="AI301" s="4065"/>
      <c r="AJ301" s="4065"/>
      <c r="AK301" s="4065"/>
      <c r="AL301" s="4066"/>
      <c r="AM301" s="1309"/>
      <c r="AN301" s="1566"/>
      <c r="AO301" s="1548"/>
      <c r="AP301" s="1548" t="str">
        <f t="shared" si="5"/>
        <v/>
      </c>
      <c r="AQ301" s="1548"/>
      <c r="AR301" s="1548"/>
      <c r="AS301" s="1559">
        <v>0</v>
      </c>
    </row>
    <row r="302" spans="1:45" s="1745" customFormat="1" ht="21" customHeight="1">
      <c r="A302" s="1287"/>
      <c r="B302" s="1287"/>
      <c r="C302" s="1287"/>
      <c r="D302" s="1287"/>
      <c r="E302" s="4034"/>
      <c r="F302" s="4034" t="s">
        <v>659</v>
      </c>
      <c r="G302" s="4034"/>
      <c r="H302" s="4034"/>
      <c r="I302" s="4036"/>
      <c r="J302" s="4035" t="str">
        <f>I301&amp;".1"</f>
        <v>1.18.1.1.1.1</v>
      </c>
      <c r="K302" s="1287"/>
      <c r="L302" s="1293" t="s">
        <v>614</v>
      </c>
      <c r="M302" s="1290"/>
      <c r="N302" s="1290"/>
      <c r="O302" s="1672"/>
      <c r="P302" s="4037"/>
      <c r="Q302" s="4037">
        <v>1</v>
      </c>
      <c r="R302" s="291"/>
      <c r="S302" s="1972" t="str">
        <f>$J302</f>
        <v>1.18.1.1.1.1</v>
      </c>
      <c r="T302" s="221" t="s">
        <v>615</v>
      </c>
      <c r="U302" s="235"/>
      <c r="V302" s="4021"/>
      <c r="W302" s="4022"/>
      <c r="X302" s="4022"/>
      <c r="Y302" s="4022"/>
      <c r="Z302" s="4022"/>
      <c r="AA302" s="4022"/>
      <c r="AB302" s="4022"/>
      <c r="AC302" s="4023"/>
      <c r="AD302" s="4021" t="s">
        <v>654</v>
      </c>
      <c r="AE302" s="4022"/>
      <c r="AF302" s="4022"/>
      <c r="AG302" s="4022"/>
      <c r="AH302" s="4022"/>
      <c r="AI302" s="4022"/>
      <c r="AJ302" s="4022"/>
      <c r="AK302" s="4022"/>
      <c r="AL302" s="4023"/>
      <c r="AM302" s="1182" t="s">
        <v>616</v>
      </c>
      <c r="AN302" s="1566"/>
      <c r="AO302" s="1548"/>
      <c r="AP302" s="1548" t="str">
        <f t="shared" si="5"/>
        <v>Группа потребителей</v>
      </c>
      <c r="AQ302" s="1548"/>
      <c r="AR302" s="1548"/>
      <c r="AS302" s="1559">
        <v>0</v>
      </c>
    </row>
    <row r="303" spans="1:45" s="1745" customFormat="1" ht="21" customHeight="1">
      <c r="A303" s="1287"/>
      <c r="B303" s="1287"/>
      <c r="C303" s="1287"/>
      <c r="D303" s="1287"/>
      <c r="E303" s="4034"/>
      <c r="F303" s="4034" t="s">
        <v>659</v>
      </c>
      <c r="G303" s="4034"/>
      <c r="H303" s="4034"/>
      <c r="I303" s="4036"/>
      <c r="J303" s="4036"/>
      <c r="K303" s="4035" t="str">
        <f>J302&amp;".1"</f>
        <v>1.18.1.1.1.1.1</v>
      </c>
      <c r="L303" s="1293" t="s">
        <v>617</v>
      </c>
      <c r="M303" s="1290"/>
      <c r="N303" s="1290"/>
      <c r="O303" s="1290"/>
      <c r="P303" s="4037"/>
      <c r="Q303" s="4037"/>
      <c r="R303" s="291">
        <v>1</v>
      </c>
      <c r="S303" s="1972" t="str">
        <f>$K303</f>
        <v>1.18.1.1.1.1.1</v>
      </c>
      <c r="T303" s="1271" t="s">
        <v>656</v>
      </c>
      <c r="U303" s="235"/>
      <c r="V303" s="685"/>
      <c r="W303" s="260"/>
      <c r="X303" s="685"/>
      <c r="Y303" s="1181"/>
      <c r="Z303" s="4038"/>
      <c r="AA303" s="3899" t="s">
        <v>53</v>
      </c>
      <c r="AB303" s="4038"/>
      <c r="AC303" s="3899" t="s">
        <v>53</v>
      </c>
      <c r="AD303" s="685">
        <v>138.44</v>
      </c>
      <c r="AE303" s="260"/>
      <c r="AF303" s="685"/>
      <c r="AG303" s="1181"/>
      <c r="AH303" s="4038">
        <v>46023.440324074072</v>
      </c>
      <c r="AI303" s="3899" t="s">
        <v>53</v>
      </c>
      <c r="AJ303" s="4038">
        <v>46387.440428240741</v>
      </c>
      <c r="AK303" s="3899" t="s">
        <v>53</v>
      </c>
      <c r="AL303" s="260"/>
      <c r="AM303" s="4056" t="s">
        <v>618</v>
      </c>
      <c r="AN303" s="1566" t="e">
        <f ca="1">STRCHECKDATE(V304:AL304)</f>
        <v>#NAME?</v>
      </c>
      <c r="AO303" s="1548"/>
      <c r="AP303" s="1548" t="str">
        <f t="shared" si="5"/>
        <v>вода</v>
      </c>
      <c r="AQ303" s="1548"/>
      <c r="AR303" s="1548"/>
      <c r="AS303" s="1559">
        <v>0</v>
      </c>
    </row>
    <row r="304" spans="1:45" s="1745" customFormat="1" ht="0.75" customHeight="1">
      <c r="A304" s="1287"/>
      <c r="B304" s="1287"/>
      <c r="C304" s="1287"/>
      <c r="D304" s="1287"/>
      <c r="E304" s="4034"/>
      <c r="F304" s="4034" t="s">
        <v>659</v>
      </c>
      <c r="G304" s="4034"/>
      <c r="H304" s="4034"/>
      <c r="I304" s="4036"/>
      <c r="J304" s="4036"/>
      <c r="K304" s="4035"/>
      <c r="L304" s="1293"/>
      <c r="M304" s="1290"/>
      <c r="N304" s="1290"/>
      <c r="O304" s="1290"/>
      <c r="P304" s="4037"/>
      <c r="Q304" s="4037"/>
      <c r="R304" s="291"/>
      <c r="S304" s="1978"/>
      <c r="T304" s="235"/>
      <c r="U304" s="235"/>
      <c r="V304" s="260"/>
      <c r="W304" s="260"/>
      <c r="X304" s="260"/>
      <c r="Y304" s="263" t="str">
        <f>Z303&amp;"-"&amp;AB303</f>
        <v>-</v>
      </c>
      <c r="Z304" s="4039"/>
      <c r="AA304" s="3899"/>
      <c r="AB304" s="4039"/>
      <c r="AC304" s="3899"/>
      <c r="AD304" s="260"/>
      <c r="AE304" s="260"/>
      <c r="AF304" s="260"/>
      <c r="AG304" s="263" t="str">
        <f>AH303&amp;"-"&amp;AJ303</f>
        <v>46023,4403240741-46387,4404282407</v>
      </c>
      <c r="AH304" s="4039"/>
      <c r="AI304" s="3899"/>
      <c r="AJ304" s="4039"/>
      <c r="AK304" s="3899"/>
      <c r="AL304" s="260"/>
      <c r="AM304" s="4057"/>
      <c r="AN304" s="1566"/>
      <c r="AO304" s="1548"/>
      <c r="AP304" s="1548" t="str">
        <f t="shared" si="5"/>
        <v/>
      </c>
      <c r="AQ304" s="1548"/>
      <c r="AR304" s="1548"/>
      <c r="AS304" s="1559">
        <v>0</v>
      </c>
    </row>
    <row r="305" spans="1:45" s="1745" customFormat="1" ht="15" customHeight="1">
      <c r="A305" s="1287"/>
      <c r="B305" s="1287"/>
      <c r="C305" s="1287"/>
      <c r="D305" s="1287"/>
      <c r="E305" s="4034"/>
      <c r="F305" s="4034" t="s">
        <v>659</v>
      </c>
      <c r="G305" s="4034"/>
      <c r="H305" s="4034"/>
      <c r="I305" s="4036"/>
      <c r="J305" s="4035"/>
      <c r="K305" s="1287"/>
      <c r="L305" s="1293"/>
      <c r="M305" s="1290"/>
      <c r="N305" s="1290"/>
      <c r="O305" s="1672"/>
      <c r="P305" s="4037"/>
      <c r="Q305" s="4037"/>
      <c r="R305" s="290"/>
      <c r="S305" s="3701"/>
      <c r="T305" s="3702" t="s">
        <v>619</v>
      </c>
      <c r="U305" s="3703"/>
      <c r="V305" s="3704"/>
      <c r="W305" s="3705"/>
      <c r="X305" s="3706"/>
      <c r="Y305" s="3707"/>
      <c r="Z305" s="3708"/>
      <c r="AA305" s="3709"/>
      <c r="AB305" s="3710"/>
      <c r="AC305" s="3711"/>
      <c r="AD305" s="3712"/>
      <c r="AE305" s="3713"/>
      <c r="AF305" s="3714"/>
      <c r="AG305" s="3715"/>
      <c r="AH305" s="3716"/>
      <c r="AI305" s="3717"/>
      <c r="AJ305" s="3718"/>
      <c r="AK305" s="3719"/>
      <c r="AL305" s="3720"/>
      <c r="AM305" s="4058"/>
      <c r="AN305" s="1566"/>
      <c r="AO305" s="1548"/>
      <c r="AP305" s="1548" t="str">
        <f t="shared" si="5"/>
        <v>Добавить вид теплоносителя (параметры теплоносителя)</v>
      </c>
      <c r="AQ305" s="1548"/>
      <c r="AR305" s="1548"/>
      <c r="AS305" s="1559">
        <v>0</v>
      </c>
    </row>
    <row r="306" spans="1:45" s="1745" customFormat="1" ht="15" customHeight="1">
      <c r="A306" s="1287"/>
      <c r="B306" s="1287"/>
      <c r="C306" s="1287"/>
      <c r="D306" s="1287"/>
      <c r="E306" s="4034"/>
      <c r="F306" s="4034" t="s">
        <v>659</v>
      </c>
      <c r="G306" s="4034"/>
      <c r="H306" s="4034"/>
      <c r="I306" s="4035"/>
      <c r="J306" s="1287"/>
      <c r="K306" s="1287"/>
      <c r="L306" s="1293"/>
      <c r="M306" s="1290"/>
      <c r="N306" s="1672"/>
      <c r="O306" s="1672"/>
      <c r="P306" s="4037"/>
      <c r="Q306" s="1974"/>
      <c r="R306" s="290"/>
      <c r="S306" s="3721"/>
      <c r="T306" s="3722" t="s">
        <v>620</v>
      </c>
      <c r="U306" s="3723"/>
      <c r="V306" s="3724"/>
      <c r="W306" s="3725"/>
      <c r="X306" s="3726"/>
      <c r="Y306" s="3727"/>
      <c r="Z306" s="3728"/>
      <c r="AA306" s="3729"/>
      <c r="AB306" s="3730"/>
      <c r="AC306" s="3731"/>
      <c r="AD306" s="3732"/>
      <c r="AE306" s="3733"/>
      <c r="AF306" s="3734"/>
      <c r="AG306" s="3735"/>
      <c r="AH306" s="3736"/>
      <c r="AI306" s="3737"/>
      <c r="AJ306" s="3738"/>
      <c r="AK306" s="3739"/>
      <c r="AL306" s="3740"/>
      <c r="AM306" s="3741"/>
      <c r="AN306" s="1566"/>
      <c r="AO306" s="1548"/>
      <c r="AP306" s="1548" t="str">
        <f t="shared" si="5"/>
        <v>Добавить группу потребителей</v>
      </c>
      <c r="AQ306" s="1548"/>
      <c r="AR306" s="1548"/>
      <c r="AS306" s="1559">
        <v>0</v>
      </c>
    </row>
    <row r="307" spans="1:45" s="1745" customFormat="1" ht="14.25" customHeight="1">
      <c r="A307" s="1287"/>
      <c r="B307" s="1287"/>
      <c r="C307" s="1287"/>
      <c r="D307" s="1287"/>
      <c r="E307" s="4034"/>
      <c r="F307" s="4034" t="s">
        <v>659</v>
      </c>
      <c r="G307" s="4034"/>
      <c r="H307" s="4033"/>
      <c r="I307" s="1287"/>
      <c r="J307" s="1287"/>
      <c r="K307" s="1287"/>
      <c r="L307" s="1293"/>
      <c r="M307" s="1289"/>
      <c r="N307" s="1289"/>
      <c r="O307" s="1290"/>
      <c r="P307" s="1718"/>
      <c r="Q307" s="309"/>
      <c r="R307" s="289"/>
      <c r="S307" s="1310"/>
      <c r="T307" s="1311"/>
      <c r="U307" s="1312"/>
      <c r="V307" s="1312"/>
      <c r="W307" s="1312"/>
      <c r="X307" s="1312"/>
      <c r="Y307" s="1312"/>
      <c r="Z307" s="1312"/>
      <c r="AA307" s="1312"/>
      <c r="AB307" s="1312"/>
      <c r="AC307" s="1312"/>
      <c r="AD307" s="1312"/>
      <c r="AE307" s="1312"/>
      <c r="AF307" s="1312"/>
      <c r="AG307" s="1312"/>
      <c r="AH307" s="1312"/>
      <c r="AI307" s="1312"/>
      <c r="AJ307" s="1312"/>
      <c r="AK307" s="1312"/>
      <c r="AL307" s="1312"/>
      <c r="AM307" s="1313"/>
      <c r="AN307" s="1566"/>
      <c r="AO307" s="1548"/>
      <c r="AP307" s="1548" t="str">
        <f t="shared" si="5"/>
        <v/>
      </c>
      <c r="AQ307" s="1548"/>
      <c r="AR307" s="1548"/>
      <c r="AS307" s="1559">
        <v>0</v>
      </c>
    </row>
    <row r="308" spans="1:45" s="556" customFormat="1" ht="0.75" customHeight="1">
      <c r="A308" s="1267"/>
      <c r="B308" s="1267"/>
      <c r="C308" s="1267"/>
      <c r="D308" s="1267"/>
      <c r="E308" s="4034"/>
      <c r="F308" s="4034" t="s">
        <v>659</v>
      </c>
      <c r="G308" s="4033"/>
      <c r="H308" s="1267"/>
      <c r="I308" s="1267"/>
      <c r="J308" s="1267"/>
      <c r="K308" s="1267"/>
      <c r="L308" s="1469"/>
      <c r="M308" s="1239"/>
      <c r="N308" s="1239"/>
      <c r="O308" s="1566"/>
      <c r="P308" s="1240"/>
      <c r="Q308" s="1268"/>
      <c r="R308" s="1240"/>
      <c r="S308" s="1242"/>
      <c r="T308" s="1243" t="s">
        <v>235</v>
      </c>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566"/>
      <c r="AO308" s="1548"/>
      <c r="AP308" s="1548" t="str">
        <f t="shared" si="5"/>
        <v>Добавить источник для дифференциации</v>
      </c>
      <c r="AQ308" s="1548"/>
      <c r="AR308" s="1548"/>
      <c r="AS308" s="1566">
        <v>0</v>
      </c>
    </row>
    <row r="309" spans="1:45" s="556" customFormat="1" ht="0.75" customHeight="1">
      <c r="A309" s="1267"/>
      <c r="B309" s="1267"/>
      <c r="C309" s="1267"/>
      <c r="D309" s="1267"/>
      <c r="E309" s="4034"/>
      <c r="F309" s="4033" t="s">
        <v>659</v>
      </c>
      <c r="G309" s="1267"/>
      <c r="H309" s="1267"/>
      <c r="I309" s="1267"/>
      <c r="J309" s="1267"/>
      <c r="K309" s="1267"/>
      <c r="L309" s="1469"/>
      <c r="M309" s="1245"/>
      <c r="N309" s="1245"/>
      <c r="O309" s="1566"/>
      <c r="P309" s="1240"/>
      <c r="Q309" s="1268"/>
      <c r="R309" s="1240"/>
      <c r="S309" s="1246"/>
      <c r="T309" s="1247" t="s">
        <v>236</v>
      </c>
      <c r="U309" s="1248"/>
      <c r="V309" s="1248"/>
      <c r="W309" s="1248"/>
      <c r="X309" s="1248"/>
      <c r="Y309" s="1248"/>
      <c r="Z309" s="1248"/>
      <c r="AA309" s="1248"/>
      <c r="AB309" s="1248"/>
      <c r="AC309" s="1248"/>
      <c r="AD309" s="1248"/>
      <c r="AE309" s="1248"/>
      <c r="AF309" s="1248"/>
      <c r="AG309" s="1248"/>
      <c r="AH309" s="1248"/>
      <c r="AI309" s="1248"/>
      <c r="AJ309" s="1248"/>
      <c r="AK309" s="1248"/>
      <c r="AL309" s="1248"/>
      <c r="AM309" s="1248"/>
      <c r="AN309" s="1566"/>
      <c r="AO309" s="1548"/>
      <c r="AP309" s="1548" t="str">
        <f t="shared" si="5"/>
        <v>Добавить централизованную систему для дифференциации</v>
      </c>
      <c r="AQ309" s="1548"/>
      <c r="AR309" s="1548"/>
      <c r="AS309" s="1566">
        <v>0</v>
      </c>
    </row>
    <row r="310" spans="1:45" s="1745" customFormat="1" ht="21" customHeight="1">
      <c r="A310" s="1287"/>
      <c r="B310" s="1287" t="s">
        <v>376</v>
      </c>
      <c r="C310" s="1287"/>
      <c r="D310" s="1287"/>
      <c r="E310" s="4034"/>
      <c r="F310" s="4033" t="s">
        <v>660</v>
      </c>
      <c r="G310" s="1287"/>
      <c r="H310" s="1287"/>
      <c r="I310" s="1287"/>
      <c r="J310" s="1287"/>
      <c r="K310" s="1287"/>
      <c r="L310" s="1293"/>
      <c r="M310" s="1289"/>
      <c r="N310" s="1289"/>
      <c r="O310" s="1289"/>
      <c r="P310" s="1970"/>
      <c r="Q310" s="286"/>
      <c r="R310" s="287"/>
      <c r="S310" s="1972" t="str">
        <f>INDEX(PT_DIFFERENTIATION_NUM_TER,MATCH(B310,PT_DIFFERENTIATION_TER_ID,0))</f>
        <v>1.19</v>
      </c>
      <c r="T310" s="1446" t="s">
        <v>605</v>
      </c>
      <c r="U310" s="235"/>
      <c r="V310" s="4027"/>
      <c r="W310" s="4028"/>
      <c r="X310" s="4028"/>
      <c r="Y310" s="4028"/>
      <c r="Z310" s="4028"/>
      <c r="AA310" s="4028"/>
      <c r="AB310" s="4028"/>
      <c r="AC310" s="4029"/>
      <c r="AD310" s="4027" t="str">
        <f>INDEX(PT_DIFFERENTIATION_TER,MATCH(B310,PT_DIFFERENTIATION_TER_ID,0))</f>
        <v>Территория 10</v>
      </c>
      <c r="AE310" s="4028"/>
      <c r="AF310" s="4028"/>
      <c r="AG310" s="4028"/>
      <c r="AH310" s="4028"/>
      <c r="AI310" s="4028"/>
      <c r="AJ310" s="4028"/>
      <c r="AK310" s="4028"/>
      <c r="AL310" s="4029"/>
      <c r="AM310" s="1182" t="s">
        <v>606</v>
      </c>
      <c r="AN310" s="1566"/>
      <c r="AO310" s="1548"/>
      <c r="AP310" s="1548" t="str">
        <f t="shared" si="5"/>
        <v>Территория действия тарифа</v>
      </c>
      <c r="AQ310" s="1548"/>
      <c r="AR310" s="1548"/>
      <c r="AS310" s="1559">
        <v>0</v>
      </c>
    </row>
    <row r="311" spans="1:45" s="1745" customFormat="1" ht="23.25" customHeight="1">
      <c r="A311" s="1287"/>
      <c r="B311" s="1287"/>
      <c r="C311" s="1287" t="s">
        <v>377</v>
      </c>
      <c r="D311" s="1287"/>
      <c r="E311" s="4034"/>
      <c r="F311" s="4034" t="s">
        <v>658</v>
      </c>
      <c r="G311" s="4033">
        <v>1</v>
      </c>
      <c r="H311" s="1287"/>
      <c r="I311" s="1287"/>
      <c r="J311" s="1287"/>
      <c r="K311" s="1287"/>
      <c r="L311" s="1293"/>
      <c r="M311" s="1289"/>
      <c r="N311" s="1289"/>
      <c r="O311" s="1289"/>
      <c r="P311" s="288"/>
      <c r="Q311" s="286"/>
      <c r="R311" s="287"/>
      <c r="S311" s="1972" t="str">
        <f>INDEX(PT_DIFFERENTIATION_NUM_CS,MATCH(C311,PT_DIFFERENTIATION_CS_ID,0))</f>
        <v>1.19.1</v>
      </c>
      <c r="T311" s="244" t="s">
        <v>607</v>
      </c>
      <c r="U311" s="235"/>
      <c r="V311" s="4027"/>
      <c r="W311" s="4028"/>
      <c r="X311" s="4028"/>
      <c r="Y311" s="4028"/>
      <c r="Z311" s="4028"/>
      <c r="AA311" s="4028"/>
      <c r="AB311" s="4028"/>
      <c r="AC311" s="4029"/>
      <c r="AD311" s="4027" t="str">
        <f>INDEX(PT_DIFFERENTIATION_CS,MATCH(C311,PT_DIFFERENTIATION_CS_ID,0))</f>
        <v>Краснинский ТУ</v>
      </c>
      <c r="AE311" s="4028"/>
      <c r="AF311" s="4028"/>
      <c r="AG311" s="4028"/>
      <c r="AH311" s="4028"/>
      <c r="AI311" s="4028"/>
      <c r="AJ311" s="4028"/>
      <c r="AK311" s="4028"/>
      <c r="AL311" s="4029"/>
      <c r="AM311" s="1182" t="s">
        <v>608</v>
      </c>
      <c r="AN311" s="1566"/>
      <c r="AO311" s="1548"/>
      <c r="AP311" s="1548" t="str">
        <f t="shared" si="5"/>
        <v xml:space="preserve">Наименование системы теплоснабжения </v>
      </c>
      <c r="AQ311" s="1548"/>
      <c r="AR311" s="1548"/>
      <c r="AS311" s="1559">
        <v>0</v>
      </c>
    </row>
    <row r="312" spans="1:45" s="1745" customFormat="1" ht="21" customHeight="1">
      <c r="A312" s="1287"/>
      <c r="B312" s="1287"/>
      <c r="C312" s="1287"/>
      <c r="D312" s="1287" t="s">
        <v>378</v>
      </c>
      <c r="E312" s="4034"/>
      <c r="F312" s="4034" t="s">
        <v>658</v>
      </c>
      <c r="G312" s="4034"/>
      <c r="H312" s="4033">
        <v>1</v>
      </c>
      <c r="I312" s="1287"/>
      <c r="J312" s="1287"/>
      <c r="K312" s="1287"/>
      <c r="L312" s="1293"/>
      <c r="M312" s="1289"/>
      <c r="N312" s="1289"/>
      <c r="O312" s="1289"/>
      <c r="P312" s="288"/>
      <c r="Q312" s="286"/>
      <c r="R312" s="287"/>
      <c r="S312" s="1972" t="str">
        <f>INDEX(PT_DIFFERENTIATION_NUM_IST_TE,MATCH(D312,PT_DIFFERENTIATION_IST_TE_ID,0))</f>
        <v>1.19.1.1</v>
      </c>
      <c r="T312" s="245" t="s">
        <v>609</v>
      </c>
      <c r="U312" s="235"/>
      <c r="V312" s="4027"/>
      <c r="W312" s="4028"/>
      <c r="X312" s="4028"/>
      <c r="Y312" s="4028"/>
      <c r="Z312" s="4028"/>
      <c r="AA312" s="4028"/>
      <c r="AB312" s="4028"/>
      <c r="AC312" s="4029"/>
      <c r="AD312" s="4027" t="str">
        <f>INDEX(PT_DIFFERENTIATION_IST_TE,MATCH(D312,PT_DIFFERENTIATION_IST_TE_ID,0))</f>
        <v>без дифференциации</v>
      </c>
      <c r="AE312" s="4028"/>
      <c r="AF312" s="4028"/>
      <c r="AG312" s="4028"/>
      <c r="AH312" s="4028"/>
      <c r="AI312" s="4028"/>
      <c r="AJ312" s="4028"/>
      <c r="AK312" s="4028"/>
      <c r="AL312" s="4029"/>
      <c r="AM312" s="1182" t="s">
        <v>610</v>
      </c>
      <c r="AN312" s="1566"/>
      <c r="AO312" s="1548"/>
      <c r="AP312" s="1548" t="str">
        <f t="shared" si="5"/>
        <v xml:space="preserve">Источник тепловой энергии  </v>
      </c>
      <c r="AQ312" s="1548"/>
      <c r="AR312" s="1548"/>
      <c r="AS312" s="1559">
        <v>0</v>
      </c>
    </row>
    <row r="313" spans="1:45" s="1745" customFormat="1" ht="14.25" customHeight="1">
      <c r="A313" s="1287"/>
      <c r="B313" s="1287"/>
      <c r="C313" s="1287"/>
      <c r="D313" s="1287"/>
      <c r="E313" s="4034"/>
      <c r="F313" s="4034" t="s">
        <v>658</v>
      </c>
      <c r="G313" s="4034"/>
      <c r="H313" s="4034"/>
      <c r="I313" s="4035" t="str">
        <f>S312&amp;".1"</f>
        <v>1.19.1.1.1</v>
      </c>
      <c r="J313" s="1287"/>
      <c r="K313" s="1287"/>
      <c r="L313" s="1293" t="s">
        <v>611</v>
      </c>
      <c r="M313" s="1290"/>
      <c r="N313" s="1672"/>
      <c r="O313" s="1672"/>
      <c r="P313" s="4037">
        <v>1</v>
      </c>
      <c r="Q313" s="1974"/>
      <c r="R313" s="290"/>
      <c r="S313" s="1973"/>
      <c r="T313" s="1307"/>
      <c r="U313" s="1308"/>
      <c r="V313" s="4064"/>
      <c r="W313" s="4065"/>
      <c r="X313" s="4065"/>
      <c r="Y313" s="4065"/>
      <c r="Z313" s="4065"/>
      <c r="AA313" s="4065"/>
      <c r="AB313" s="4065"/>
      <c r="AC313" s="4066"/>
      <c r="AD313" s="4064"/>
      <c r="AE313" s="4065"/>
      <c r="AF313" s="4065"/>
      <c r="AG313" s="4065"/>
      <c r="AH313" s="4065"/>
      <c r="AI313" s="4065"/>
      <c r="AJ313" s="4065"/>
      <c r="AK313" s="4065"/>
      <c r="AL313" s="4066"/>
      <c r="AM313" s="1309"/>
      <c r="AN313" s="1566"/>
      <c r="AO313" s="1548"/>
      <c r="AP313" s="1548" t="str">
        <f t="shared" si="5"/>
        <v/>
      </c>
      <c r="AQ313" s="1548"/>
      <c r="AR313" s="1548"/>
      <c r="AS313" s="1559">
        <v>0</v>
      </c>
    </row>
    <row r="314" spans="1:45" s="1745" customFormat="1" ht="21" customHeight="1">
      <c r="A314" s="1287"/>
      <c r="B314" s="1287"/>
      <c r="C314" s="1287"/>
      <c r="D314" s="1287"/>
      <c r="E314" s="4034"/>
      <c r="F314" s="4034" t="s">
        <v>658</v>
      </c>
      <c r="G314" s="4034"/>
      <c r="H314" s="4034"/>
      <c r="I314" s="4036"/>
      <c r="J314" s="4035" t="str">
        <f>I313&amp;".1"</f>
        <v>1.19.1.1.1.1</v>
      </c>
      <c r="K314" s="1287"/>
      <c r="L314" s="1293" t="s">
        <v>614</v>
      </c>
      <c r="M314" s="1290"/>
      <c r="N314" s="1290"/>
      <c r="O314" s="1672"/>
      <c r="P314" s="4037"/>
      <c r="Q314" s="4037">
        <v>1</v>
      </c>
      <c r="R314" s="291"/>
      <c r="S314" s="1972" t="str">
        <f>$J314</f>
        <v>1.19.1.1.1.1</v>
      </c>
      <c r="T314" s="221" t="s">
        <v>615</v>
      </c>
      <c r="U314" s="235"/>
      <c r="V314" s="4021"/>
      <c r="W314" s="4022"/>
      <c r="X314" s="4022"/>
      <c r="Y314" s="4022"/>
      <c r="Z314" s="4022"/>
      <c r="AA314" s="4022"/>
      <c r="AB314" s="4022"/>
      <c r="AC314" s="4023"/>
      <c r="AD314" s="4021" t="s">
        <v>654</v>
      </c>
      <c r="AE314" s="4022"/>
      <c r="AF314" s="4022"/>
      <c r="AG314" s="4022"/>
      <c r="AH314" s="4022"/>
      <c r="AI314" s="4022"/>
      <c r="AJ314" s="4022"/>
      <c r="AK314" s="4022"/>
      <c r="AL314" s="4023"/>
      <c r="AM314" s="1182" t="s">
        <v>616</v>
      </c>
      <c r="AN314" s="1566"/>
      <c r="AO314" s="1548"/>
      <c r="AP314" s="1548" t="str">
        <f t="shared" si="5"/>
        <v>Группа потребителей</v>
      </c>
      <c r="AQ314" s="1548"/>
      <c r="AR314" s="1548"/>
      <c r="AS314" s="1559">
        <v>0</v>
      </c>
    </row>
    <row r="315" spans="1:45" s="1745" customFormat="1" ht="21" customHeight="1">
      <c r="A315" s="1287"/>
      <c r="B315" s="1287"/>
      <c r="C315" s="1287"/>
      <c r="D315" s="1287"/>
      <c r="E315" s="4034"/>
      <c r="F315" s="4034" t="s">
        <v>658</v>
      </c>
      <c r="G315" s="4034"/>
      <c r="H315" s="4034"/>
      <c r="I315" s="4036"/>
      <c r="J315" s="4036"/>
      <c r="K315" s="4035" t="str">
        <f>J314&amp;".1"</f>
        <v>1.19.1.1.1.1.1</v>
      </c>
      <c r="L315" s="1293" t="s">
        <v>617</v>
      </c>
      <c r="M315" s="1290"/>
      <c r="N315" s="1290"/>
      <c r="O315" s="1290"/>
      <c r="P315" s="4037"/>
      <c r="Q315" s="4037"/>
      <c r="R315" s="291">
        <v>1</v>
      </c>
      <c r="S315" s="1972" t="str">
        <f>$K315</f>
        <v>1.19.1.1.1.1.1</v>
      </c>
      <c r="T315" s="1271" t="s">
        <v>656</v>
      </c>
      <c r="U315" s="235"/>
      <c r="V315" s="685"/>
      <c r="W315" s="260"/>
      <c r="X315" s="685"/>
      <c r="Y315" s="1181"/>
      <c r="Z315" s="4038"/>
      <c r="AA315" s="3899" t="s">
        <v>53</v>
      </c>
      <c r="AB315" s="4038"/>
      <c r="AC315" s="3899" t="s">
        <v>53</v>
      </c>
      <c r="AD315" s="685">
        <v>1035.32</v>
      </c>
      <c r="AE315" s="260"/>
      <c r="AF315" s="685"/>
      <c r="AG315" s="1181"/>
      <c r="AH315" s="4038">
        <v>46023.438634259262</v>
      </c>
      <c r="AI315" s="3899" t="s">
        <v>53</v>
      </c>
      <c r="AJ315" s="4038">
        <v>46387.438761574071</v>
      </c>
      <c r="AK315" s="3899" t="s">
        <v>53</v>
      </c>
      <c r="AL315" s="260"/>
      <c r="AM315" s="4056" t="s">
        <v>618</v>
      </c>
      <c r="AN315" s="1566" t="e">
        <f ca="1">STRCHECKDATE(V316:AL316)</f>
        <v>#NAME?</v>
      </c>
      <c r="AO315" s="1548"/>
      <c r="AP315" s="1548" t="str">
        <f t="shared" si="5"/>
        <v>вода</v>
      </c>
      <c r="AQ315" s="1548"/>
      <c r="AR315" s="1548"/>
      <c r="AS315" s="1559">
        <v>0</v>
      </c>
    </row>
    <row r="316" spans="1:45" s="1745" customFormat="1" ht="0.75" customHeight="1">
      <c r="A316" s="1287"/>
      <c r="B316" s="1287"/>
      <c r="C316" s="1287"/>
      <c r="D316" s="1287"/>
      <c r="E316" s="4034"/>
      <c r="F316" s="4034" t="s">
        <v>658</v>
      </c>
      <c r="G316" s="4034"/>
      <c r="H316" s="4034"/>
      <c r="I316" s="4036"/>
      <c r="J316" s="4036"/>
      <c r="K316" s="4035"/>
      <c r="L316" s="1293"/>
      <c r="M316" s="1290"/>
      <c r="N316" s="1290"/>
      <c r="O316" s="1290"/>
      <c r="P316" s="4037"/>
      <c r="Q316" s="4037"/>
      <c r="R316" s="291"/>
      <c r="S316" s="1978"/>
      <c r="T316" s="235"/>
      <c r="U316" s="235"/>
      <c r="V316" s="260"/>
      <c r="W316" s="260"/>
      <c r="X316" s="260"/>
      <c r="Y316" s="263" t="str">
        <f>Z315&amp;"-"&amp;AB315</f>
        <v>-</v>
      </c>
      <c r="Z316" s="4039"/>
      <c r="AA316" s="3899"/>
      <c r="AB316" s="4039"/>
      <c r="AC316" s="3899"/>
      <c r="AD316" s="260"/>
      <c r="AE316" s="260"/>
      <c r="AF316" s="260"/>
      <c r="AG316" s="263" t="str">
        <f>AH315&amp;"-"&amp;AJ315</f>
        <v>46023,4386342593-46387,4387615741</v>
      </c>
      <c r="AH316" s="4039"/>
      <c r="AI316" s="3899"/>
      <c r="AJ316" s="4039"/>
      <c r="AK316" s="3899"/>
      <c r="AL316" s="260"/>
      <c r="AM316" s="4057"/>
      <c r="AN316" s="1566"/>
      <c r="AO316" s="1548"/>
      <c r="AP316" s="1548" t="str">
        <f t="shared" si="5"/>
        <v/>
      </c>
      <c r="AQ316" s="1548"/>
      <c r="AR316" s="1548"/>
      <c r="AS316" s="1559">
        <v>0</v>
      </c>
    </row>
    <row r="317" spans="1:45" s="1745" customFormat="1" ht="15" customHeight="1">
      <c r="A317" s="1287"/>
      <c r="B317" s="1287"/>
      <c r="C317" s="1287"/>
      <c r="D317" s="1287"/>
      <c r="E317" s="4034"/>
      <c r="F317" s="4034" t="s">
        <v>658</v>
      </c>
      <c r="G317" s="4034"/>
      <c r="H317" s="4034"/>
      <c r="I317" s="4036"/>
      <c r="J317" s="4035"/>
      <c r="K317" s="1287"/>
      <c r="L317" s="1293"/>
      <c r="M317" s="1290"/>
      <c r="N317" s="1290"/>
      <c r="O317" s="1672"/>
      <c r="P317" s="4037"/>
      <c r="Q317" s="4037"/>
      <c r="R317" s="290"/>
      <c r="S317" s="3742"/>
      <c r="T317" s="3743" t="s">
        <v>619</v>
      </c>
      <c r="U317" s="3744"/>
      <c r="V317" s="3745"/>
      <c r="W317" s="3746"/>
      <c r="X317" s="3747"/>
      <c r="Y317" s="3748"/>
      <c r="Z317" s="3749"/>
      <c r="AA317" s="3750"/>
      <c r="AB317" s="3751"/>
      <c r="AC317" s="3752"/>
      <c r="AD317" s="3753"/>
      <c r="AE317" s="3754"/>
      <c r="AF317" s="3755"/>
      <c r="AG317" s="3756"/>
      <c r="AH317" s="3757"/>
      <c r="AI317" s="3758"/>
      <c r="AJ317" s="3759"/>
      <c r="AK317" s="3760"/>
      <c r="AL317" s="3761"/>
      <c r="AM317" s="4058"/>
      <c r="AN317" s="1566"/>
      <c r="AO317" s="1548"/>
      <c r="AP317" s="1548" t="str">
        <f t="shared" si="5"/>
        <v>Добавить вид теплоносителя (параметры теплоносителя)</v>
      </c>
      <c r="AQ317" s="1548"/>
      <c r="AR317" s="1548"/>
      <c r="AS317" s="1559">
        <v>0</v>
      </c>
    </row>
    <row r="318" spans="1:45" s="1745" customFormat="1" ht="15" customHeight="1">
      <c r="A318" s="1287"/>
      <c r="B318" s="1287"/>
      <c r="C318" s="1287"/>
      <c r="D318" s="1287"/>
      <c r="E318" s="4034"/>
      <c r="F318" s="4034" t="s">
        <v>658</v>
      </c>
      <c r="G318" s="4034"/>
      <c r="H318" s="4034"/>
      <c r="I318" s="4035"/>
      <c r="J318" s="1287"/>
      <c r="K318" s="1287"/>
      <c r="L318" s="1293"/>
      <c r="M318" s="1290"/>
      <c r="N318" s="1672"/>
      <c r="O318" s="1672"/>
      <c r="P318" s="4037"/>
      <c r="Q318" s="1974"/>
      <c r="R318" s="290"/>
      <c r="S318" s="3762"/>
      <c r="T318" s="3763" t="s">
        <v>620</v>
      </c>
      <c r="U318" s="3764"/>
      <c r="V318" s="3765"/>
      <c r="W318" s="3766"/>
      <c r="X318" s="3767"/>
      <c r="Y318" s="3768"/>
      <c r="Z318" s="3769"/>
      <c r="AA318" s="3770"/>
      <c r="AB318" s="3771"/>
      <c r="AC318" s="3772"/>
      <c r="AD318" s="3773"/>
      <c r="AE318" s="3774"/>
      <c r="AF318" s="3775"/>
      <c r="AG318" s="3776"/>
      <c r="AH318" s="3777"/>
      <c r="AI318" s="3778"/>
      <c r="AJ318" s="3779"/>
      <c r="AK318" s="3780"/>
      <c r="AL318" s="3781"/>
      <c r="AM318" s="3782"/>
      <c r="AN318" s="1566"/>
      <c r="AO318" s="1548"/>
      <c r="AP318" s="1548" t="str">
        <f t="shared" si="5"/>
        <v>Добавить группу потребителей</v>
      </c>
      <c r="AQ318" s="1548"/>
      <c r="AR318" s="1548"/>
      <c r="AS318" s="1559">
        <v>0</v>
      </c>
    </row>
    <row r="319" spans="1:45" s="1745" customFormat="1" ht="14.25" customHeight="1">
      <c r="A319" s="1287"/>
      <c r="B319" s="1287"/>
      <c r="C319" s="1287"/>
      <c r="D319" s="1287"/>
      <c r="E319" s="4034"/>
      <c r="F319" s="4034" t="s">
        <v>658</v>
      </c>
      <c r="G319" s="4034"/>
      <c r="H319" s="4033"/>
      <c r="I319" s="1287"/>
      <c r="J319" s="1287"/>
      <c r="K319" s="1287"/>
      <c r="L319" s="1293"/>
      <c r="M319" s="1289"/>
      <c r="N319" s="1289"/>
      <c r="O319" s="1290"/>
      <c r="P319" s="1718"/>
      <c r="Q319" s="309"/>
      <c r="R319" s="289"/>
      <c r="S319" s="1310"/>
      <c r="T319" s="1311"/>
      <c r="U319" s="1312"/>
      <c r="V319" s="1312"/>
      <c r="W319" s="1312"/>
      <c r="X319" s="1312"/>
      <c r="Y319" s="1312"/>
      <c r="Z319" s="1312"/>
      <c r="AA319" s="1312"/>
      <c r="AB319" s="1312"/>
      <c r="AC319" s="1312"/>
      <c r="AD319" s="1312"/>
      <c r="AE319" s="1312"/>
      <c r="AF319" s="1312"/>
      <c r="AG319" s="1312"/>
      <c r="AH319" s="1312"/>
      <c r="AI319" s="1312"/>
      <c r="AJ319" s="1312"/>
      <c r="AK319" s="1312"/>
      <c r="AL319" s="1312"/>
      <c r="AM319" s="1313"/>
      <c r="AN319" s="1566"/>
      <c r="AO319" s="1548"/>
      <c r="AP319" s="1548" t="str">
        <f t="shared" si="5"/>
        <v/>
      </c>
      <c r="AQ319" s="1548"/>
      <c r="AR319" s="1548"/>
      <c r="AS319" s="1559">
        <v>0</v>
      </c>
    </row>
    <row r="320" spans="1:45" s="556" customFormat="1" ht="0.75" customHeight="1">
      <c r="A320" s="1267"/>
      <c r="B320" s="1267"/>
      <c r="C320" s="1267"/>
      <c r="D320" s="1267"/>
      <c r="E320" s="4034"/>
      <c r="F320" s="4034" t="s">
        <v>658</v>
      </c>
      <c r="G320" s="4033"/>
      <c r="H320" s="1267"/>
      <c r="I320" s="1267"/>
      <c r="J320" s="1267"/>
      <c r="K320" s="1267"/>
      <c r="L320" s="1469"/>
      <c r="M320" s="1239"/>
      <c r="N320" s="1239"/>
      <c r="O320" s="1566"/>
      <c r="P320" s="1240"/>
      <c r="Q320" s="1268"/>
      <c r="R320" s="1240"/>
      <c r="S320" s="1242"/>
      <c r="T320" s="1243" t="s">
        <v>235</v>
      </c>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566"/>
      <c r="AO320" s="1548"/>
      <c r="AP320" s="1548" t="str">
        <f t="shared" si="5"/>
        <v>Добавить источник для дифференциации</v>
      </c>
      <c r="AQ320" s="1548"/>
      <c r="AR320" s="1548"/>
      <c r="AS320" s="1566">
        <v>0</v>
      </c>
    </row>
    <row r="321" spans="1:45" s="556" customFormat="1" ht="0.75" customHeight="1">
      <c r="A321" s="1267"/>
      <c r="B321" s="1267"/>
      <c r="C321" s="1267"/>
      <c r="D321" s="1267"/>
      <c r="E321" s="4034"/>
      <c r="F321" s="4033" t="s">
        <v>658</v>
      </c>
      <c r="G321" s="1267"/>
      <c r="H321" s="1267"/>
      <c r="I321" s="1267"/>
      <c r="J321" s="1267"/>
      <c r="K321" s="1267"/>
      <c r="L321" s="1469"/>
      <c r="M321" s="1245"/>
      <c r="N321" s="1245"/>
      <c r="O321" s="1566"/>
      <c r="P321" s="1240"/>
      <c r="Q321" s="1268"/>
      <c r="R321" s="1240"/>
      <c r="S321" s="1246"/>
      <c r="T321" s="1247" t="s">
        <v>236</v>
      </c>
      <c r="U321" s="1248"/>
      <c r="V321" s="1248"/>
      <c r="W321" s="1248"/>
      <c r="X321" s="1248"/>
      <c r="Y321" s="1248"/>
      <c r="Z321" s="1248"/>
      <c r="AA321" s="1248"/>
      <c r="AB321" s="1248"/>
      <c r="AC321" s="1248"/>
      <c r="AD321" s="1248"/>
      <c r="AE321" s="1248"/>
      <c r="AF321" s="1248"/>
      <c r="AG321" s="1248"/>
      <c r="AH321" s="1248"/>
      <c r="AI321" s="1248"/>
      <c r="AJ321" s="1248"/>
      <c r="AK321" s="1248"/>
      <c r="AL321" s="1248"/>
      <c r="AM321" s="1248"/>
      <c r="AN321" s="1566"/>
      <c r="AO321" s="1548"/>
      <c r="AP321" s="1548" t="str">
        <f t="shared" si="5"/>
        <v>Добавить централизованную систему для дифференциации</v>
      </c>
      <c r="AQ321" s="1548"/>
      <c r="AR321" s="1548"/>
      <c r="AS321" s="1566">
        <v>0</v>
      </c>
    </row>
    <row r="322" spans="1:45" s="1566" customFormat="1" ht="1.1499999999999999" customHeight="1">
      <c r="A322" s="1267" t="s">
        <v>293</v>
      </c>
      <c r="B322" s="1267"/>
      <c r="C322" s="1267"/>
      <c r="D322" s="1267"/>
      <c r="E322" s="4033"/>
      <c r="F322" s="1267"/>
      <c r="G322" s="1267"/>
      <c r="H322" s="1267"/>
      <c r="I322" s="1267"/>
      <c r="J322" s="1267"/>
      <c r="K322" s="1267"/>
      <c r="L322" s="1270"/>
      <c r="M322" s="1245"/>
      <c r="N322" s="1245"/>
      <c r="O322" s="452"/>
      <c r="P322" s="314"/>
      <c r="Q322" s="1268"/>
      <c r="R322" s="314"/>
      <c r="S322" s="1246"/>
      <c r="T322" s="1249" t="s">
        <v>286</v>
      </c>
      <c r="U322" s="1248"/>
      <c r="V322" s="1248"/>
      <c r="W322" s="1248"/>
      <c r="X322" s="1248"/>
      <c r="Y322" s="1248"/>
      <c r="Z322" s="1248"/>
      <c r="AA322" s="1248"/>
      <c r="AB322" s="1248"/>
      <c r="AC322" s="1248"/>
      <c r="AD322" s="1248"/>
      <c r="AE322" s="1248"/>
      <c r="AF322" s="1248"/>
      <c r="AG322" s="1248"/>
      <c r="AH322" s="1248"/>
      <c r="AI322" s="1248"/>
      <c r="AJ322" s="1248"/>
      <c r="AK322" s="1248"/>
      <c r="AL322" s="1248"/>
      <c r="AM322" s="1248"/>
      <c r="AO322" s="434"/>
      <c r="AP322" s="434" t="str">
        <f t="shared" si="5"/>
        <v>Добавить территорию для дифференциации</v>
      </c>
      <c r="AQ322" s="434"/>
      <c r="AR322" s="434"/>
      <c r="AS322" s="445">
        <v>1</v>
      </c>
    </row>
    <row r="323" spans="1:45" s="1566" customFormat="1" ht="1.1499999999999999" customHeight="1">
      <c r="A323" s="1238"/>
      <c r="B323" s="1238"/>
      <c r="C323" s="1238"/>
      <c r="D323" s="1238"/>
      <c r="E323" s="1267"/>
      <c r="F323" s="1238"/>
      <c r="G323" s="1238"/>
      <c r="H323" s="1238"/>
      <c r="I323" s="1238"/>
      <c r="J323" s="1238"/>
      <c r="K323" s="1238"/>
      <c r="L323" s="1263"/>
      <c r="M323" s="1245"/>
      <c r="N323" s="1245"/>
      <c r="P323" s="1240"/>
      <c r="Q323" s="1241"/>
      <c r="R323" s="1240"/>
      <c r="S323" s="1246"/>
      <c r="T323" s="1249" t="s">
        <v>287</v>
      </c>
      <c r="U323" s="1248"/>
      <c r="V323" s="1248"/>
      <c r="W323" s="1248"/>
      <c r="X323" s="1248"/>
      <c r="Y323" s="1248"/>
      <c r="Z323" s="1248"/>
      <c r="AA323" s="1248"/>
      <c r="AB323" s="1248"/>
      <c r="AC323" s="1248"/>
      <c r="AD323" s="1248"/>
      <c r="AE323" s="1248"/>
      <c r="AF323" s="1248"/>
      <c r="AG323" s="1248"/>
      <c r="AH323" s="1248"/>
      <c r="AI323" s="1248"/>
      <c r="AJ323" s="1248"/>
      <c r="AK323" s="1248"/>
      <c r="AL323" s="1248"/>
      <c r="AM323" s="1248"/>
      <c r="AO323" s="717"/>
      <c r="AP323" s="717" t="str">
        <f t="shared" si="5"/>
        <v>Добавить наименование тарифа</v>
      </c>
      <c r="AQ323" s="717"/>
      <c r="AR323" s="717"/>
      <c r="AS323" s="452">
        <v>1</v>
      </c>
    </row>
    <row r="324" spans="1:45" ht="11.45" customHeight="1">
      <c r="M324" s="1084"/>
      <c r="N324" s="1084"/>
      <c r="O324" s="471"/>
      <c r="P324" s="1079"/>
      <c r="Q324" s="1079"/>
      <c r="R324" s="1079"/>
      <c r="S324" s="1079"/>
      <c r="AN324" s="1079"/>
      <c r="AO324" s="1079"/>
      <c r="AP324" s="1079"/>
      <c r="AQ324" s="1079"/>
      <c r="AR324" s="1079"/>
      <c r="AS324" s="1079">
        <v>11</v>
      </c>
    </row>
    <row r="325" spans="1:45" ht="19.899999999999999" customHeight="1">
      <c r="O325" s="471"/>
      <c r="S325" s="1177"/>
      <c r="T325" s="4032"/>
      <c r="U325" s="4032"/>
      <c r="V325" s="4032"/>
      <c r="W325" s="4032"/>
      <c r="X325" s="4032"/>
      <c r="Y325" s="4032"/>
      <c r="Z325" s="4032"/>
      <c r="AA325" s="4032"/>
      <c r="AB325" s="4032"/>
      <c r="AC325" s="4032"/>
      <c r="AD325" s="4032"/>
      <c r="AE325" s="4032"/>
      <c r="AF325" s="4032"/>
      <c r="AG325" s="4032"/>
      <c r="AH325" s="4032"/>
      <c r="AI325" s="4032"/>
      <c r="AJ325" s="4032"/>
      <c r="AK325" s="4032"/>
      <c r="AL325" s="4032"/>
      <c r="AM325" s="4032"/>
      <c r="AS325" s="1079">
        <v>19</v>
      </c>
    </row>
    <row r="326" spans="1:45" ht="29.25" customHeight="1">
      <c r="O326" s="471"/>
      <c r="T326" s="4032"/>
      <c r="U326" s="4032"/>
      <c r="V326" s="4032"/>
      <c r="W326" s="4032"/>
      <c r="X326" s="4032"/>
      <c r="Y326" s="4032"/>
      <c r="Z326" s="4032"/>
      <c r="AA326" s="4032"/>
      <c r="AB326" s="4032"/>
      <c r="AC326" s="4032"/>
      <c r="AD326" s="4032"/>
      <c r="AE326" s="4032"/>
      <c r="AF326" s="4032"/>
      <c r="AG326" s="4032"/>
      <c r="AH326" s="4032"/>
      <c r="AI326" s="4032"/>
      <c r="AJ326" s="4032"/>
      <c r="AK326" s="4032"/>
      <c r="AL326" s="4032"/>
      <c r="AM326" s="4032"/>
      <c r="AS326" s="1079">
        <v>28</v>
      </c>
    </row>
    <row r="327" spans="1:45" ht="42" customHeight="1">
      <c r="O327" s="471"/>
      <c r="T327" s="4032"/>
      <c r="U327" s="4032"/>
      <c r="V327" s="4032"/>
      <c r="W327" s="4032"/>
      <c r="X327" s="4032"/>
      <c r="Y327" s="4032"/>
      <c r="Z327" s="4032"/>
      <c r="AA327" s="4032"/>
      <c r="AB327" s="4032"/>
      <c r="AC327" s="4032"/>
      <c r="AD327" s="4032"/>
      <c r="AE327" s="4032"/>
      <c r="AF327" s="4032"/>
      <c r="AG327" s="4032"/>
      <c r="AH327" s="4032"/>
      <c r="AI327" s="4032"/>
      <c r="AJ327" s="4032"/>
      <c r="AK327" s="4032"/>
      <c r="AL327" s="4032"/>
      <c r="AM327" s="4032"/>
      <c r="AS327" s="1079">
        <v>40</v>
      </c>
    </row>
    <row r="328" spans="1:45" ht="14.65" customHeight="1">
      <c r="O328" s="471"/>
      <c r="AS328" s="1079">
        <v>14</v>
      </c>
    </row>
    <row r="329" spans="1:45" ht="21" customHeight="1">
      <c r="O329" s="471"/>
      <c r="S329" s="1177"/>
      <c r="T329" s="3929"/>
      <c r="U329" s="4032"/>
      <c r="V329" s="4032"/>
      <c r="W329" s="4032"/>
      <c r="X329" s="4032"/>
      <c r="Y329" s="4032"/>
      <c r="Z329" s="4032"/>
      <c r="AA329" s="4032"/>
      <c r="AB329" s="4032"/>
      <c r="AC329" s="4032"/>
      <c r="AD329" s="4032"/>
      <c r="AE329" s="4032"/>
      <c r="AF329" s="4032"/>
      <c r="AG329" s="4032"/>
      <c r="AH329" s="4032"/>
      <c r="AI329" s="4032"/>
      <c r="AJ329" s="4032"/>
      <c r="AK329" s="4032"/>
      <c r="AL329" s="4032"/>
      <c r="AM329" s="4032"/>
      <c r="AS329" s="1079">
        <v>20</v>
      </c>
    </row>
    <row r="330" spans="1:45" ht="29.25" customHeight="1">
      <c r="O330" s="471"/>
      <c r="T330" s="4032"/>
      <c r="U330" s="4032"/>
      <c r="V330" s="4032"/>
      <c r="W330" s="4032"/>
      <c r="X330" s="4032"/>
      <c r="Y330" s="4032"/>
      <c r="Z330" s="4032"/>
      <c r="AA330" s="4032"/>
      <c r="AB330" s="4032"/>
      <c r="AC330" s="4032"/>
      <c r="AD330" s="4032"/>
      <c r="AE330" s="4032"/>
      <c r="AF330" s="4032"/>
      <c r="AG330" s="4032"/>
      <c r="AH330" s="4032"/>
      <c r="AI330" s="4032"/>
      <c r="AJ330" s="4032"/>
      <c r="AK330" s="4032"/>
      <c r="AL330" s="4032"/>
      <c r="AM330" s="4032"/>
      <c r="AS330" s="1079">
        <v>28</v>
      </c>
    </row>
    <row r="331" spans="1:45" ht="35.65" customHeight="1">
      <c r="T331" s="4032"/>
      <c r="U331" s="4032"/>
      <c r="V331" s="4032"/>
      <c r="W331" s="4032"/>
      <c r="X331" s="4032"/>
      <c r="Y331" s="4032"/>
      <c r="Z331" s="4032"/>
      <c r="AA331" s="4032"/>
      <c r="AB331" s="4032"/>
      <c r="AC331" s="4032"/>
      <c r="AD331" s="4032"/>
      <c r="AE331" s="4032"/>
      <c r="AF331" s="4032"/>
      <c r="AG331" s="4032"/>
      <c r="AH331" s="4032"/>
      <c r="AI331" s="4032"/>
      <c r="AJ331" s="4032"/>
      <c r="AK331" s="4032"/>
      <c r="AL331" s="4032"/>
      <c r="AM331" s="4032"/>
      <c r="AS331" s="1079">
        <v>34</v>
      </c>
    </row>
    <row r="332" spans="1:45" ht="22.5" hidden="1" customHeight="1">
      <c r="A332" s="1084" t="s">
        <v>69</v>
      </c>
      <c r="B332" s="1084">
        <v>0</v>
      </c>
      <c r="C332" s="1084">
        <v>0</v>
      </c>
      <c r="D332" s="1084">
        <v>0</v>
      </c>
      <c r="E332" s="1084">
        <v>0</v>
      </c>
      <c r="F332" s="1084">
        <v>0</v>
      </c>
      <c r="G332" s="1084">
        <v>0</v>
      </c>
      <c r="H332" s="1084">
        <v>0</v>
      </c>
      <c r="I332" s="1084">
        <v>0</v>
      </c>
      <c r="J332" s="1084">
        <v>0</v>
      </c>
      <c r="K332" s="1084">
        <v>0</v>
      </c>
      <c r="L332" s="1253">
        <v>0</v>
      </c>
      <c r="M332" s="1286">
        <v>0</v>
      </c>
      <c r="N332" s="1286">
        <v>0</v>
      </c>
      <c r="O332" s="1286">
        <v>0</v>
      </c>
      <c r="P332" s="1252">
        <v>0</v>
      </c>
      <c r="Q332" s="279">
        <v>3</v>
      </c>
      <c r="R332" s="279">
        <v>3</v>
      </c>
      <c r="S332" s="515">
        <v>12</v>
      </c>
      <c r="T332" s="1079">
        <v>31</v>
      </c>
      <c r="U332" s="1079">
        <v>0</v>
      </c>
      <c r="V332" s="1079">
        <v>0</v>
      </c>
      <c r="W332" s="1079">
        <v>0</v>
      </c>
      <c r="X332" s="1079">
        <v>0</v>
      </c>
      <c r="Y332" s="1079">
        <v>0</v>
      </c>
      <c r="Z332" s="1079">
        <v>0</v>
      </c>
      <c r="AA332" s="1079">
        <v>0</v>
      </c>
      <c r="AB332" s="1079">
        <v>0</v>
      </c>
      <c r="AC332" s="1079">
        <v>0</v>
      </c>
      <c r="AD332" s="1079">
        <v>24</v>
      </c>
      <c r="AE332" s="1079">
        <v>0</v>
      </c>
      <c r="AF332" s="1079">
        <v>24</v>
      </c>
      <c r="AG332" s="1079">
        <v>24</v>
      </c>
      <c r="AH332" s="1079">
        <v>11</v>
      </c>
      <c r="AI332" s="1079">
        <v>3</v>
      </c>
      <c r="AJ332" s="1079">
        <v>11</v>
      </c>
      <c r="AK332" s="1079">
        <v>0</v>
      </c>
      <c r="AL332" s="1079">
        <v>4</v>
      </c>
      <c r="AM332" s="1079">
        <v>115</v>
      </c>
      <c r="AN332" s="445">
        <v>10</v>
      </c>
      <c r="AO332" s="445">
        <v>10</v>
      </c>
      <c r="AP332" s="445">
        <v>10</v>
      </c>
      <c r="AQ332" s="445">
        <v>10</v>
      </c>
      <c r="AR332" s="445">
        <v>10</v>
      </c>
      <c r="AS332" s="1079">
        <v>23</v>
      </c>
    </row>
  </sheetData>
  <sheetProtection formatColumns="0" formatRows="0" insertRows="0" deleteColumns="0" deleteRows="0" sort="0" autoFilter="0"/>
  <mergeCells count="719">
    <mergeCell ref="AM291:AM293"/>
    <mergeCell ref="Z291:Z292"/>
    <mergeCell ref="AA291:AA292"/>
    <mergeCell ref="AH291:AH292"/>
    <mergeCell ref="AI291:AI292"/>
    <mergeCell ref="AJ291:AJ292"/>
    <mergeCell ref="AK291:AK292"/>
    <mergeCell ref="AB291:AB292"/>
    <mergeCell ref="AC291:AC292"/>
    <mergeCell ref="AM281:AM283"/>
    <mergeCell ref="Z281:Z282"/>
    <mergeCell ref="AA281:AA282"/>
    <mergeCell ref="AH281:AH282"/>
    <mergeCell ref="AI281:AI282"/>
    <mergeCell ref="AJ281:AJ282"/>
    <mergeCell ref="AK281:AK282"/>
    <mergeCell ref="AB281:AB282"/>
    <mergeCell ref="AC281:AC282"/>
    <mergeCell ref="G185:G194"/>
    <mergeCell ref="H186:H193"/>
    <mergeCell ref="I187:I192"/>
    <mergeCell ref="P187:P192"/>
    <mergeCell ref="J188:J191"/>
    <mergeCell ref="Q188:Q191"/>
    <mergeCell ref="K189:K190"/>
    <mergeCell ref="V277:AC277"/>
    <mergeCell ref="AD277:AL277"/>
    <mergeCell ref="G277:G286"/>
    <mergeCell ref="H278:H285"/>
    <mergeCell ref="I279:I284"/>
    <mergeCell ref="P279:P284"/>
    <mergeCell ref="J280:J283"/>
    <mergeCell ref="Q280:Q283"/>
    <mergeCell ref="K281:K282"/>
    <mergeCell ref="AM189:AM191"/>
    <mergeCell ref="Z189:Z190"/>
    <mergeCell ref="AA189:AA190"/>
    <mergeCell ref="AH189:AH190"/>
    <mergeCell ref="AI189:AI190"/>
    <mergeCell ref="AJ189:AJ190"/>
    <mergeCell ref="AK189:AK190"/>
    <mergeCell ref="AB189:AB190"/>
    <mergeCell ref="AC189:AC190"/>
    <mergeCell ref="K179:K180"/>
    <mergeCell ref="V185:AC185"/>
    <mergeCell ref="AD185:AL185"/>
    <mergeCell ref="V186:AC186"/>
    <mergeCell ref="AD186:AL186"/>
    <mergeCell ref="V187:AC187"/>
    <mergeCell ref="AD187:AL187"/>
    <mergeCell ref="V188:AC188"/>
    <mergeCell ref="AD188:AL188"/>
    <mergeCell ref="AD175:AL175"/>
    <mergeCell ref="V176:AC176"/>
    <mergeCell ref="AD176:AL176"/>
    <mergeCell ref="V177:AC177"/>
    <mergeCell ref="AD177:AL177"/>
    <mergeCell ref="V178:AC178"/>
    <mergeCell ref="AD178:AL178"/>
    <mergeCell ref="AM179:AM181"/>
    <mergeCell ref="Z179:Z180"/>
    <mergeCell ref="AA179:AA180"/>
    <mergeCell ref="AH179:AH180"/>
    <mergeCell ref="AI179:AI180"/>
    <mergeCell ref="AJ179:AJ180"/>
    <mergeCell ref="AK179:AK180"/>
    <mergeCell ref="AB179:AB180"/>
    <mergeCell ref="AC179:AC180"/>
    <mergeCell ref="AM315:AM317"/>
    <mergeCell ref="Z315:Z316"/>
    <mergeCell ref="AA315:AA316"/>
    <mergeCell ref="AH315:AH316"/>
    <mergeCell ref="AI315:AI316"/>
    <mergeCell ref="AJ315:AJ316"/>
    <mergeCell ref="AK315:AK316"/>
    <mergeCell ref="AB315:AB316"/>
    <mergeCell ref="AC315:AC316"/>
    <mergeCell ref="AD310:AL310"/>
    <mergeCell ref="V311:AC311"/>
    <mergeCell ref="AD311:AL311"/>
    <mergeCell ref="V312:AC312"/>
    <mergeCell ref="AD312:AL312"/>
    <mergeCell ref="V313:AC313"/>
    <mergeCell ref="AD313:AL313"/>
    <mergeCell ref="V314:AC314"/>
    <mergeCell ref="AD314:AL314"/>
    <mergeCell ref="F298:F309"/>
    <mergeCell ref="G299:G308"/>
    <mergeCell ref="H300:H307"/>
    <mergeCell ref="I301:I306"/>
    <mergeCell ref="P301:P306"/>
    <mergeCell ref="J302:J305"/>
    <mergeCell ref="Q302:Q305"/>
    <mergeCell ref="K303:K304"/>
    <mergeCell ref="V310:AC310"/>
    <mergeCell ref="F310:F321"/>
    <mergeCell ref="G311:G320"/>
    <mergeCell ref="H312:H319"/>
    <mergeCell ref="I313:I318"/>
    <mergeCell ref="P313:P318"/>
    <mergeCell ref="J314:J317"/>
    <mergeCell ref="Q314:Q317"/>
    <mergeCell ref="K315:K316"/>
    <mergeCell ref="V302:AC302"/>
    <mergeCell ref="AD302:AL302"/>
    <mergeCell ref="AM303:AM305"/>
    <mergeCell ref="Z303:Z304"/>
    <mergeCell ref="AA303:AA304"/>
    <mergeCell ref="AH303:AH304"/>
    <mergeCell ref="AI303:AI304"/>
    <mergeCell ref="AJ303:AJ304"/>
    <mergeCell ref="AK303:AK304"/>
    <mergeCell ref="AB303:AB304"/>
    <mergeCell ref="AC303:AC304"/>
    <mergeCell ref="K247:K248"/>
    <mergeCell ref="V298:AC298"/>
    <mergeCell ref="AD298:AL298"/>
    <mergeCell ref="V299:AC299"/>
    <mergeCell ref="AD299:AL299"/>
    <mergeCell ref="V300:AC300"/>
    <mergeCell ref="AD300:AL300"/>
    <mergeCell ref="V301:AC301"/>
    <mergeCell ref="AD301:AL301"/>
    <mergeCell ref="V278:AC278"/>
    <mergeCell ref="AD278:AL278"/>
    <mergeCell ref="V279:AC279"/>
    <mergeCell ref="AD279:AL279"/>
    <mergeCell ref="V280:AC280"/>
    <mergeCell ref="AD280:AL280"/>
    <mergeCell ref="V287:AC287"/>
    <mergeCell ref="AD287:AL287"/>
    <mergeCell ref="V288:AC288"/>
    <mergeCell ref="AD288:AL288"/>
    <mergeCell ref="V289:AC289"/>
    <mergeCell ref="AD289:AL289"/>
    <mergeCell ref="V290:AC290"/>
    <mergeCell ref="AD290:AL290"/>
    <mergeCell ref="P289:P294"/>
    <mergeCell ref="AD243:AL243"/>
    <mergeCell ref="V244:AC244"/>
    <mergeCell ref="AD244:AL244"/>
    <mergeCell ref="V245:AC245"/>
    <mergeCell ref="AD245:AL245"/>
    <mergeCell ref="V246:AC246"/>
    <mergeCell ref="AD246:AL246"/>
    <mergeCell ref="AM247:AM249"/>
    <mergeCell ref="Z247:Z248"/>
    <mergeCell ref="AA247:AA248"/>
    <mergeCell ref="AH247:AH248"/>
    <mergeCell ref="AI247:AI248"/>
    <mergeCell ref="AJ247:AJ248"/>
    <mergeCell ref="AK247:AK248"/>
    <mergeCell ref="AB247:AB248"/>
    <mergeCell ref="AC247:AC248"/>
    <mergeCell ref="AM271:AM273"/>
    <mergeCell ref="Z271:Z272"/>
    <mergeCell ref="AA271:AA272"/>
    <mergeCell ref="AH271:AH272"/>
    <mergeCell ref="AI271:AI272"/>
    <mergeCell ref="AJ271:AJ272"/>
    <mergeCell ref="AK271:AK272"/>
    <mergeCell ref="AB271:AB272"/>
    <mergeCell ref="AC271:AC272"/>
    <mergeCell ref="AD266:AL266"/>
    <mergeCell ref="V267:AC267"/>
    <mergeCell ref="AD267:AL267"/>
    <mergeCell ref="V268:AC268"/>
    <mergeCell ref="AD268:AL268"/>
    <mergeCell ref="V269:AC269"/>
    <mergeCell ref="AD269:AL269"/>
    <mergeCell ref="V270:AC270"/>
    <mergeCell ref="AD270:AL270"/>
    <mergeCell ref="F254:F265"/>
    <mergeCell ref="G255:G264"/>
    <mergeCell ref="H256:H263"/>
    <mergeCell ref="I257:I262"/>
    <mergeCell ref="P257:P262"/>
    <mergeCell ref="J258:J261"/>
    <mergeCell ref="Q258:Q261"/>
    <mergeCell ref="K259:K260"/>
    <mergeCell ref="V266:AC266"/>
    <mergeCell ref="F266:F297"/>
    <mergeCell ref="G267:G276"/>
    <mergeCell ref="H268:H275"/>
    <mergeCell ref="I269:I274"/>
    <mergeCell ref="P269:P274"/>
    <mergeCell ref="J270:J273"/>
    <mergeCell ref="Q270:Q273"/>
    <mergeCell ref="K271:K272"/>
    <mergeCell ref="G287:G296"/>
    <mergeCell ref="H288:H295"/>
    <mergeCell ref="I289:I294"/>
    <mergeCell ref="J290:J293"/>
    <mergeCell ref="Q290:Q293"/>
    <mergeCell ref="K291:K292"/>
    <mergeCell ref="AM259:AM261"/>
    <mergeCell ref="Z259:Z260"/>
    <mergeCell ref="AA259:AA260"/>
    <mergeCell ref="AH259:AH260"/>
    <mergeCell ref="AI259:AI260"/>
    <mergeCell ref="AJ259:AJ260"/>
    <mergeCell ref="AK259:AK260"/>
    <mergeCell ref="AB259:AB260"/>
    <mergeCell ref="AC259:AC260"/>
    <mergeCell ref="V254:AC254"/>
    <mergeCell ref="AD254:AL254"/>
    <mergeCell ref="V255:AC255"/>
    <mergeCell ref="AD255:AL255"/>
    <mergeCell ref="V256:AC256"/>
    <mergeCell ref="AD256:AL256"/>
    <mergeCell ref="V257:AC257"/>
    <mergeCell ref="AD257:AL257"/>
    <mergeCell ref="V258:AC258"/>
    <mergeCell ref="AD258:AL258"/>
    <mergeCell ref="AM237:AM239"/>
    <mergeCell ref="Z237:Z238"/>
    <mergeCell ref="AA237:AA238"/>
    <mergeCell ref="AH237:AH238"/>
    <mergeCell ref="AI237:AI238"/>
    <mergeCell ref="AJ237:AJ238"/>
    <mergeCell ref="AK237:AK238"/>
    <mergeCell ref="AB237:AB238"/>
    <mergeCell ref="AC237:AC238"/>
    <mergeCell ref="AD232:AL232"/>
    <mergeCell ref="V233:AC233"/>
    <mergeCell ref="AD233:AL233"/>
    <mergeCell ref="V234:AC234"/>
    <mergeCell ref="AD234:AL234"/>
    <mergeCell ref="V235:AC235"/>
    <mergeCell ref="AD235:AL235"/>
    <mergeCell ref="V236:AC236"/>
    <mergeCell ref="AD236:AL236"/>
    <mergeCell ref="F220:F231"/>
    <mergeCell ref="G221:G230"/>
    <mergeCell ref="H222:H229"/>
    <mergeCell ref="I223:I228"/>
    <mergeCell ref="P223:P228"/>
    <mergeCell ref="J224:J227"/>
    <mergeCell ref="Q224:Q227"/>
    <mergeCell ref="K225:K226"/>
    <mergeCell ref="V232:AC232"/>
    <mergeCell ref="F232:F253"/>
    <mergeCell ref="G233:G242"/>
    <mergeCell ref="H234:H241"/>
    <mergeCell ref="I235:I240"/>
    <mergeCell ref="P235:P240"/>
    <mergeCell ref="J236:J239"/>
    <mergeCell ref="Q236:Q239"/>
    <mergeCell ref="K237:K238"/>
    <mergeCell ref="V243:AC243"/>
    <mergeCell ref="G243:G252"/>
    <mergeCell ref="H244:H251"/>
    <mergeCell ref="I245:I250"/>
    <mergeCell ref="P245:P250"/>
    <mergeCell ref="J246:J249"/>
    <mergeCell ref="Q246:Q249"/>
    <mergeCell ref="AM225:AM227"/>
    <mergeCell ref="Z225:Z226"/>
    <mergeCell ref="AA225:AA226"/>
    <mergeCell ref="AH225:AH226"/>
    <mergeCell ref="AI225:AI226"/>
    <mergeCell ref="AJ225:AJ226"/>
    <mergeCell ref="AK225:AK226"/>
    <mergeCell ref="AB225:AB226"/>
    <mergeCell ref="AC225:AC226"/>
    <mergeCell ref="V220:AC220"/>
    <mergeCell ref="AD220:AL220"/>
    <mergeCell ref="V221:AC221"/>
    <mergeCell ref="AD221:AL221"/>
    <mergeCell ref="V222:AC222"/>
    <mergeCell ref="AD222:AL222"/>
    <mergeCell ref="V223:AC223"/>
    <mergeCell ref="AD223:AL223"/>
    <mergeCell ref="V224:AC224"/>
    <mergeCell ref="AD224:AL224"/>
    <mergeCell ref="AM213:AM215"/>
    <mergeCell ref="Z213:Z214"/>
    <mergeCell ref="AA213:AA214"/>
    <mergeCell ref="AH213:AH214"/>
    <mergeCell ref="AI213:AI214"/>
    <mergeCell ref="AJ213:AJ214"/>
    <mergeCell ref="AK213:AK214"/>
    <mergeCell ref="AB213:AB214"/>
    <mergeCell ref="AC213:AC214"/>
    <mergeCell ref="AD208:AL208"/>
    <mergeCell ref="V209:AC209"/>
    <mergeCell ref="AD209:AL209"/>
    <mergeCell ref="V210:AC210"/>
    <mergeCell ref="AD210:AL210"/>
    <mergeCell ref="V211:AC211"/>
    <mergeCell ref="AD211:AL211"/>
    <mergeCell ref="V212:AC212"/>
    <mergeCell ref="AD212:AL212"/>
    <mergeCell ref="F196:F207"/>
    <mergeCell ref="G197:G206"/>
    <mergeCell ref="H198:H205"/>
    <mergeCell ref="I199:I204"/>
    <mergeCell ref="P199:P204"/>
    <mergeCell ref="J200:J203"/>
    <mergeCell ref="Q200:Q203"/>
    <mergeCell ref="K201:K202"/>
    <mergeCell ref="V208:AC208"/>
    <mergeCell ref="F208:F219"/>
    <mergeCell ref="G209:G218"/>
    <mergeCell ref="H210:H217"/>
    <mergeCell ref="I211:I216"/>
    <mergeCell ref="P211:P216"/>
    <mergeCell ref="J212:J215"/>
    <mergeCell ref="Q212:Q215"/>
    <mergeCell ref="K213:K214"/>
    <mergeCell ref="AM201:AM203"/>
    <mergeCell ref="Z201:Z202"/>
    <mergeCell ref="AA201:AA202"/>
    <mergeCell ref="AH201:AH202"/>
    <mergeCell ref="AI201:AI202"/>
    <mergeCell ref="AJ201:AJ202"/>
    <mergeCell ref="AK201:AK202"/>
    <mergeCell ref="AB201:AB202"/>
    <mergeCell ref="AC201:AC202"/>
    <mergeCell ref="V196:AC196"/>
    <mergeCell ref="AD196:AL196"/>
    <mergeCell ref="V197:AC197"/>
    <mergeCell ref="AD197:AL197"/>
    <mergeCell ref="V198:AC198"/>
    <mergeCell ref="AD198:AL198"/>
    <mergeCell ref="V199:AC199"/>
    <mergeCell ref="AD199:AL199"/>
    <mergeCell ref="V200:AC200"/>
    <mergeCell ref="AD200:AL200"/>
    <mergeCell ref="AM169:AM171"/>
    <mergeCell ref="Z169:Z170"/>
    <mergeCell ref="AA169:AA170"/>
    <mergeCell ref="AH169:AH170"/>
    <mergeCell ref="AI169:AI170"/>
    <mergeCell ref="AJ169:AJ170"/>
    <mergeCell ref="AK169:AK170"/>
    <mergeCell ref="AB169:AB170"/>
    <mergeCell ref="AC169:AC170"/>
    <mergeCell ref="AD164:AL164"/>
    <mergeCell ref="V165:AC165"/>
    <mergeCell ref="AD165:AL165"/>
    <mergeCell ref="V166:AC166"/>
    <mergeCell ref="AD166:AL166"/>
    <mergeCell ref="V167:AC167"/>
    <mergeCell ref="AD167:AL167"/>
    <mergeCell ref="V168:AC168"/>
    <mergeCell ref="AD168:AL168"/>
    <mergeCell ref="F152:F163"/>
    <mergeCell ref="G153:G162"/>
    <mergeCell ref="H154:H161"/>
    <mergeCell ref="I155:I160"/>
    <mergeCell ref="P155:P160"/>
    <mergeCell ref="J156:J159"/>
    <mergeCell ref="Q156:Q159"/>
    <mergeCell ref="K157:K158"/>
    <mergeCell ref="V164:AC164"/>
    <mergeCell ref="F164:F195"/>
    <mergeCell ref="G165:G174"/>
    <mergeCell ref="H166:H173"/>
    <mergeCell ref="I167:I172"/>
    <mergeCell ref="P167:P172"/>
    <mergeCell ref="J168:J171"/>
    <mergeCell ref="Q168:Q171"/>
    <mergeCell ref="K169:K170"/>
    <mergeCell ref="V175:AC175"/>
    <mergeCell ref="G175:G184"/>
    <mergeCell ref="H176:H183"/>
    <mergeCell ref="I177:I182"/>
    <mergeCell ref="P177:P182"/>
    <mergeCell ref="J178:J181"/>
    <mergeCell ref="Q178:Q181"/>
    <mergeCell ref="AM157:AM159"/>
    <mergeCell ref="Z157:Z158"/>
    <mergeCell ref="AA157:AA158"/>
    <mergeCell ref="AH157:AH158"/>
    <mergeCell ref="AI157:AI158"/>
    <mergeCell ref="AJ157:AJ158"/>
    <mergeCell ref="AK157:AK158"/>
    <mergeCell ref="AB157:AB158"/>
    <mergeCell ref="AC157:AC158"/>
    <mergeCell ref="V152:AC152"/>
    <mergeCell ref="AD152:AL152"/>
    <mergeCell ref="V153:AC153"/>
    <mergeCell ref="AD153:AL153"/>
    <mergeCell ref="V154:AC154"/>
    <mergeCell ref="AD154:AL154"/>
    <mergeCell ref="V155:AC155"/>
    <mergeCell ref="AD155:AL155"/>
    <mergeCell ref="V156:AC156"/>
    <mergeCell ref="AD156:AL156"/>
    <mergeCell ref="AM145:AM147"/>
    <mergeCell ref="Z145:Z146"/>
    <mergeCell ref="AA145:AA146"/>
    <mergeCell ref="AH145:AH146"/>
    <mergeCell ref="AI145:AI146"/>
    <mergeCell ref="AJ145:AJ146"/>
    <mergeCell ref="AK145:AK146"/>
    <mergeCell ref="AB145:AB146"/>
    <mergeCell ref="AC145:AC146"/>
    <mergeCell ref="AD140:AL140"/>
    <mergeCell ref="V141:AC141"/>
    <mergeCell ref="AD141:AL141"/>
    <mergeCell ref="V142:AC142"/>
    <mergeCell ref="AD142:AL142"/>
    <mergeCell ref="V143:AC143"/>
    <mergeCell ref="AD143:AL143"/>
    <mergeCell ref="V144:AC144"/>
    <mergeCell ref="AD144:AL144"/>
    <mergeCell ref="F128:F139"/>
    <mergeCell ref="G129:G138"/>
    <mergeCell ref="H130:H137"/>
    <mergeCell ref="I131:I136"/>
    <mergeCell ref="P131:P136"/>
    <mergeCell ref="J132:J135"/>
    <mergeCell ref="Q132:Q135"/>
    <mergeCell ref="K133:K134"/>
    <mergeCell ref="V140:AC140"/>
    <mergeCell ref="F140:F151"/>
    <mergeCell ref="G141:G150"/>
    <mergeCell ref="H142:H149"/>
    <mergeCell ref="I143:I148"/>
    <mergeCell ref="P143:P148"/>
    <mergeCell ref="J144:J147"/>
    <mergeCell ref="Q144:Q147"/>
    <mergeCell ref="K145:K146"/>
    <mergeCell ref="AM133:AM135"/>
    <mergeCell ref="Z133:Z134"/>
    <mergeCell ref="AA133:AA134"/>
    <mergeCell ref="AH133:AH134"/>
    <mergeCell ref="AI133:AI134"/>
    <mergeCell ref="AJ133:AJ134"/>
    <mergeCell ref="AK133:AK134"/>
    <mergeCell ref="AB133:AB134"/>
    <mergeCell ref="AC133:AC134"/>
    <mergeCell ref="V128:AC128"/>
    <mergeCell ref="AD128:AL128"/>
    <mergeCell ref="V129:AC129"/>
    <mergeCell ref="AD129:AL129"/>
    <mergeCell ref="V130:AC130"/>
    <mergeCell ref="AD130:AL130"/>
    <mergeCell ref="V131:AC131"/>
    <mergeCell ref="AD131:AL131"/>
    <mergeCell ref="V132:AC132"/>
    <mergeCell ref="AD132:AL132"/>
    <mergeCell ref="AM121:AM123"/>
    <mergeCell ref="Z121:Z122"/>
    <mergeCell ref="AA121:AA122"/>
    <mergeCell ref="AH121:AH122"/>
    <mergeCell ref="AI121:AI122"/>
    <mergeCell ref="AJ121:AJ122"/>
    <mergeCell ref="AK121:AK122"/>
    <mergeCell ref="AB121:AB122"/>
    <mergeCell ref="AC121:AC122"/>
    <mergeCell ref="AD116:AL116"/>
    <mergeCell ref="V117:AC117"/>
    <mergeCell ref="AD117:AL117"/>
    <mergeCell ref="V118:AC118"/>
    <mergeCell ref="AD118:AL118"/>
    <mergeCell ref="V119:AC119"/>
    <mergeCell ref="AD119:AL119"/>
    <mergeCell ref="V120:AC120"/>
    <mergeCell ref="AD120:AL120"/>
    <mergeCell ref="F104:F115"/>
    <mergeCell ref="G105:G114"/>
    <mergeCell ref="H106:H113"/>
    <mergeCell ref="I107:I112"/>
    <mergeCell ref="P107:P112"/>
    <mergeCell ref="J108:J111"/>
    <mergeCell ref="Q108:Q111"/>
    <mergeCell ref="K109:K110"/>
    <mergeCell ref="V116:AC116"/>
    <mergeCell ref="F116:F127"/>
    <mergeCell ref="G117:G126"/>
    <mergeCell ref="H118:H125"/>
    <mergeCell ref="I119:I124"/>
    <mergeCell ref="P119:P124"/>
    <mergeCell ref="J120:J123"/>
    <mergeCell ref="Q120:Q123"/>
    <mergeCell ref="K121:K122"/>
    <mergeCell ref="AM109:AM111"/>
    <mergeCell ref="Z109:Z110"/>
    <mergeCell ref="AA109:AA110"/>
    <mergeCell ref="AH109:AH110"/>
    <mergeCell ref="AI109:AI110"/>
    <mergeCell ref="AJ109:AJ110"/>
    <mergeCell ref="AK109:AK110"/>
    <mergeCell ref="AB109:AB110"/>
    <mergeCell ref="AC109:AC110"/>
    <mergeCell ref="V104:AC104"/>
    <mergeCell ref="AD104:AL104"/>
    <mergeCell ref="V105:AC105"/>
    <mergeCell ref="AD105:AL105"/>
    <mergeCell ref="V106:AC106"/>
    <mergeCell ref="AD106:AL106"/>
    <mergeCell ref="V107:AC107"/>
    <mergeCell ref="AD107:AL107"/>
    <mergeCell ref="V108:AC108"/>
    <mergeCell ref="AD108:AL108"/>
    <mergeCell ref="AM97:AM99"/>
    <mergeCell ref="Z97:Z98"/>
    <mergeCell ref="AA97:AA98"/>
    <mergeCell ref="AH97:AH98"/>
    <mergeCell ref="AI97:AI98"/>
    <mergeCell ref="AJ97:AJ98"/>
    <mergeCell ref="AK97:AK98"/>
    <mergeCell ref="AB97:AB98"/>
    <mergeCell ref="AC97:AC98"/>
    <mergeCell ref="AD92:AL92"/>
    <mergeCell ref="V93:AC93"/>
    <mergeCell ref="AD93:AL93"/>
    <mergeCell ref="V94:AC94"/>
    <mergeCell ref="AD94:AL94"/>
    <mergeCell ref="V95:AC95"/>
    <mergeCell ref="AD95:AL95"/>
    <mergeCell ref="V96:AC96"/>
    <mergeCell ref="AD96:AL96"/>
    <mergeCell ref="F80:F91"/>
    <mergeCell ref="G81:G90"/>
    <mergeCell ref="H82:H89"/>
    <mergeCell ref="I83:I88"/>
    <mergeCell ref="P83:P88"/>
    <mergeCell ref="J84:J87"/>
    <mergeCell ref="Q84:Q87"/>
    <mergeCell ref="K85:K86"/>
    <mergeCell ref="V92:AC92"/>
    <mergeCell ref="F92:F103"/>
    <mergeCell ref="G93:G102"/>
    <mergeCell ref="H94:H101"/>
    <mergeCell ref="I95:I100"/>
    <mergeCell ref="P95:P100"/>
    <mergeCell ref="J96:J99"/>
    <mergeCell ref="Q96:Q99"/>
    <mergeCell ref="K97:K98"/>
    <mergeCell ref="AM85:AM87"/>
    <mergeCell ref="Z85:Z86"/>
    <mergeCell ref="AA85:AA86"/>
    <mergeCell ref="AH85:AH86"/>
    <mergeCell ref="AI85:AI86"/>
    <mergeCell ref="AJ85:AJ86"/>
    <mergeCell ref="AK85:AK86"/>
    <mergeCell ref="AB85:AB86"/>
    <mergeCell ref="AC85:AC86"/>
    <mergeCell ref="V80:AC80"/>
    <mergeCell ref="AD80:AL80"/>
    <mergeCell ref="V81:AC81"/>
    <mergeCell ref="AD81:AL81"/>
    <mergeCell ref="V82:AC82"/>
    <mergeCell ref="AD82:AL82"/>
    <mergeCell ref="V83:AC83"/>
    <mergeCell ref="AD83:AL83"/>
    <mergeCell ref="V84:AC84"/>
    <mergeCell ref="AD84:AL84"/>
    <mergeCell ref="AM73:AM75"/>
    <mergeCell ref="Z73:Z74"/>
    <mergeCell ref="AA73:AA74"/>
    <mergeCell ref="AH73:AH74"/>
    <mergeCell ref="AI73:AI74"/>
    <mergeCell ref="AJ73:AJ74"/>
    <mergeCell ref="AK73:AK74"/>
    <mergeCell ref="AB73:AB74"/>
    <mergeCell ref="AC73:AC74"/>
    <mergeCell ref="AD68:AL68"/>
    <mergeCell ref="V69:AC69"/>
    <mergeCell ref="AD69:AL69"/>
    <mergeCell ref="V70:AC70"/>
    <mergeCell ref="AD70:AL70"/>
    <mergeCell ref="V71:AC71"/>
    <mergeCell ref="AD71:AL71"/>
    <mergeCell ref="V72:AC72"/>
    <mergeCell ref="AD72:AL72"/>
    <mergeCell ref="F56:F67"/>
    <mergeCell ref="G57:G66"/>
    <mergeCell ref="H58:H65"/>
    <mergeCell ref="I59:I64"/>
    <mergeCell ref="P59:P64"/>
    <mergeCell ref="J60:J63"/>
    <mergeCell ref="Q60:Q63"/>
    <mergeCell ref="K61:K62"/>
    <mergeCell ref="V68:AC68"/>
    <mergeCell ref="F68:F79"/>
    <mergeCell ref="G69:G78"/>
    <mergeCell ref="H70:H77"/>
    <mergeCell ref="I71:I76"/>
    <mergeCell ref="P71:P76"/>
    <mergeCell ref="J72:J75"/>
    <mergeCell ref="Q72:Q75"/>
    <mergeCell ref="K73:K74"/>
    <mergeCell ref="AM61:AM63"/>
    <mergeCell ref="Z61:Z62"/>
    <mergeCell ref="AA61:AA62"/>
    <mergeCell ref="AH61:AH62"/>
    <mergeCell ref="AI61:AI62"/>
    <mergeCell ref="AJ61:AJ62"/>
    <mergeCell ref="AK61:AK62"/>
    <mergeCell ref="AB61:AB62"/>
    <mergeCell ref="AC61:AC62"/>
    <mergeCell ref="V56:AC56"/>
    <mergeCell ref="AD56:AL56"/>
    <mergeCell ref="V57:AC57"/>
    <mergeCell ref="AD57:AL57"/>
    <mergeCell ref="V58:AC58"/>
    <mergeCell ref="AD58:AL58"/>
    <mergeCell ref="V59:AC59"/>
    <mergeCell ref="AD59:AL59"/>
    <mergeCell ref="V60:AC60"/>
    <mergeCell ref="AD60:AL60"/>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325:AM325"/>
    <mergeCell ref="T326:AM326"/>
    <mergeCell ref="AA42:AB42"/>
    <mergeCell ref="AI42:AJ42"/>
    <mergeCell ref="E43:E322"/>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330:AM330"/>
    <mergeCell ref="T331:AM331"/>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329:AM329"/>
    <mergeCell ref="T327:AM327"/>
    <mergeCell ref="AJ49:AJ50"/>
    <mergeCell ref="AK49:AK50"/>
  </mergeCells>
  <dataValidations count="8">
    <dataValidation allowBlank="1" sqref="S131389:AM131395 S196925:AM196931 S262461:AM262467 S327997:AM328003 S393533:AM393539 S459069:AM459075 S524605:AM524611 S590141:AM590147 S655677:AM655683 S721213:AM721219 S786749:AM786755 S852285:AM852291 S917821:AM917827 S983357:AM983363 S65853:AM65859"/>
    <dataValidation type="list" allowBlank="1" showInputMessage="1" errorTitle="Ошибка" error="Выберите значение из списка" prompt="Выберите значение из списка" sqref="V983354:AL983354 V65850:AL65850 V131386:AL131386 V196922:AL196922 V262458:AL262458 V327994:AL327994 V393530:AL393530 V459066:AL459066 V524602:AL524602 V590138:AL590138 V655674:AL655674 V721210:AL721210 V786746:AL786746 V852282:AL852282 V917818:AL917818">
      <formula1>kind_of_cons</formula1>
    </dataValidation>
    <dataValidation type="list" allowBlank="1" showInputMessage="1" showErrorMessage="1" errorTitle="Ошибка" error="Выберите значение из списка" sqref="V983353:W983353 V65849:W65849 V131385:W131385 V196921:W196921 V262457:W262457 V327993:W327993 V393529:W393529 V459065:W459065 V524601:W524601 V590137:W590137 V655673:W655673 V721209:W721209 V786745:W786745 V852281:W852281 V917817:W917817 AD983353:AE983353 AD65849:AE65849 AD131385:AE131385 AD196921:AE196921 AD262457:AE262457 AD327993:AE327993 AD393529:AE393529 AD459065:AE459065 AD524601:AE524601 AD590137:AE590137 AD655673:AE655673 AD721209:AE721209 AD786745:AE786745 AD852281:AE852281 AD917817:AE917817">
      <formula1>kind_of_scheme_in</formula1>
    </dataValidation>
    <dataValidation type="textLength" operator="lessThanOrEqual" allowBlank="1" showInputMessage="1" showErrorMessage="1" errorTitle="Ошибка" error="Допускается ввод не более 900 символов!" sqref="AM65845:AM65852 AM131381:AM131388 AM196917:AM196924 AM262453:AM262460 AM327989:AM327996 AM393525:AM393532 AM459061:AM459068 AM524597:AM524604 AM590133:AM590140 AM655669:AM655676 AM721205:AM721212 AM786741:AM786748 AM852277:AM852284 AM917813:AM917820 AM983349:AM983356">
      <formula1>900</formula1>
    </dataValidation>
    <dataValidation type="list" allowBlank="1" showInputMessage="1" showErrorMessage="1" errorTitle="Ошибка" error="Выберите значение из списка" sqref="T65851 T131387 T196923 T262459 T327995 T393531 T459067 T524603 T590139 T655675 T721211 T786747 T852283 T917819 T98335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851 Z131387 Z196923 Z262459 Z327995 Z393531 Z459067 Z524603 Z590139 Z655675 Z721211 Z786747 Z852283 Z917819 Z983355 AB65851 AB131387 AB196923 AB262459 AB327995 AB393531 AB459067 AB524603 AB590139 AB655675 AB721211 AB786747 AB852283 AB917819 AB983355 Z8 AH65851 AH131387 AH196923 AH262459 AH327995 AH393531 AH459067 AH524603 AH590139 AH655675 AH721211 AH786747 AH852283 AH917819 AH983355 AJ65851 AJ131387 AJ196923 AJ262459 AJ327995 AJ393531 AJ459067 AJ524603 AJ590139 AJ655675 AJ721211 AJ786747 AJ852283 AJ917819 AJ983355 AJ49 AH49 AH8 AJ8 AB8 AH17 AJ17 Z49 AB49 Z61 AB61 AH61 AJ61 Z73 AB73 AH73 AJ73 Z85 AB85 AH85 AJ85 Z97 AB97 AH97 AJ97 Z109 AB109 AH109 AJ109 Z121 AB121 AH121 AJ121 Z133 AB133 AH133 AJ133 Z145 AB145 AH145 AJ145 Z157 AB157 AH157 AJ157 Z169 AB169 AH169 AJ169 Z201 AB201 AH201 AJ201 Z213 AB213 AH213 AJ213 Z225 AB225 AH225 AJ225 Z237 AB237 AH237 AJ237 Z259 AB259 AH259 AJ259 Z271 AB271 AH271 AJ271 Z247 AB247 AH247 AJ247 Z303 AB303 AH303 AJ303 Z315 AB315 AH315 AJ315 Z179 AB179 AH179 AJ179 Z189 AB189 AH189 AJ189 Z281 AB281 AH281 AJ281 Z291 AB291 AH291 AJ291"/>
    <dataValidation allowBlank="1" showInputMessage="1" showErrorMessage="1" prompt="Для выбора выполните двойной щелчок левой клавиши мыши по соответствующей ячейке." sqref="AA65851 AA131387 AA196923 AA262459 AA327995 AA393531 AA459067 AA524603 AA590139 AA655675 AA721211 AA786747 AA852283 AA917819 AA983355 AC131387 AC459067 AC196923 AC262459 AC327995 AC393531 AC524603 AC590139 AC655675 AC721211 AC786747 AC852283 AC917819 AC983355 AC65851 AI65851 AI131387 AI196923 AI262459 AI327995 AI393531 AI459067 AI524603 AI590139 AI655675 AI721211 AI786747 AI852283 AI917819 AI983355 AK393531 AK49 AK524603 AK8 AK590139 AK655675 AK17 AK721211 AK786747 AK852283 AK917819 AK983355 AK65851 AK131387 AK459067 AI49 AK196923 AI8 AC8 AA8 AI17 AK262459 AA49 AC49 AK327995 AA61 AC61 AI61 AK61 AA73 AC73 AI73 AK73 AA85 AC85 AI85 AK85 AA97 AC97 AI97 AK97 AA109 AC109 AI109 AK109 AA121 AC121 AI121 AK121 AA133 AC133 AI133 AK133 AA145 AC145 AI145 AK145 AA157 AC157 AI157 AK157 AA169 AC169 AI169 AK169 AA201 AC201 AI201 AK201 AA213 AC213 AI213 AK213 AA225 AC225 AI225 AK225 AA237 AC237 AI237 AK237 AA259 AC259 AI259 AK259 AA271 AC271 AI271 AK271 AA247 AC247 AI247 AK247 AA303 AC303 AI303 AK303 AA315 AC315 AI315 AK315 AA179 AC179 AI179 AK179 AA189 AC189 AI189 AK189 AA281 AC281 AI281 AK281 AA291 AC291 AI291 AK291"/>
    <dataValidation allowBlank="1" promptTitle="checkPeriodRange" sqref="Y65852 Y131388 Y196924 Y262460 Y327996 Y393532 Y459068 Y524604 Y590140 Y655676 Y721212 Y786748 Y852284 Y917820 Y983356 Y9 AG65852 AG131388 AG196924 AG262460 AG327996 AG393532 AG459068 AG524604 AG590140 AG655676 AG721212 AG786748 AG852284 AG917820 AG983356 AG9 AG50 AG18 Y50 Y62 AG62 Y74 AG74 Y86 AG86 Y98 AG98 Y110 AG110 Y122 AG122 Y134 AG134 Y146 AG146 Y158 AG158 Y170 AG170 Y202 AG202 Y214 AG214 Y226 AG226 Y238 AG238 Y260 AG260 Y272 AG272 Y248 AG248 Y304 AG304 Y316 AG316 Y180 AG180 Y190 AG190 Y282 AG282 Y292 AG29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7109375" style="1975" hidden="1" customWidth="1"/>
    <col min="17" max="18" width="3" style="279" customWidth="1"/>
    <col min="19" max="19" width="12" style="197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1" s="1766"/>
      <c r="Y1" s="262"/>
      <c r="Z1" s="262"/>
      <c r="AG1" s="262"/>
      <c r="AH1" s="262"/>
      <c r="AS1" s="1079" t="s">
        <v>1</v>
      </c>
    </row>
    <row r="2" spans="1:45" ht="21" hidden="1" customHeight="1">
      <c r="A2" s="1287"/>
      <c r="B2" s="1287"/>
      <c r="C2" s="1287"/>
      <c r="D2" s="1287"/>
      <c r="E2" s="4033">
        <v>1</v>
      </c>
      <c r="F2" s="1287"/>
      <c r="G2" s="1287"/>
      <c r="H2" s="1287"/>
      <c r="I2" s="1287"/>
      <c r="J2" s="1287"/>
      <c r="K2" s="1287"/>
      <c r="L2" s="1288"/>
      <c r="M2" s="1289"/>
      <c r="N2" s="1289"/>
      <c r="O2" s="1289"/>
      <c r="P2" s="295"/>
      <c r="Q2" s="294"/>
      <c r="R2" s="289"/>
      <c r="S2" s="1260" t="e">
        <f>INDEX(PT_DIFFERENTIATION_NUM_NTAR,MATCH(A2,PT_DIFFERENTIATION_NTAR_ID,0))</f>
        <v>#N/A</v>
      </c>
      <c r="T2" s="233" t="s">
        <v>195</v>
      </c>
      <c r="U2" s="235"/>
      <c r="V2" s="4027"/>
      <c r="W2" s="4028"/>
      <c r="X2" s="4028"/>
      <c r="Y2" s="4028"/>
      <c r="Z2" s="4028"/>
      <c r="AA2" s="4028"/>
      <c r="AB2" s="4028"/>
      <c r="AC2" s="4029"/>
      <c r="AD2" s="4027" t="e">
        <f>INDEX(PT_DIFFERENTIATION_NTAR,MATCH(A2,PT_DIFFERENTIATION_NTAR_ID,0))</f>
        <v>#N/A</v>
      </c>
      <c r="AE2" s="4028"/>
      <c r="AF2" s="4028"/>
      <c r="AG2" s="4028"/>
      <c r="AH2" s="4028"/>
      <c r="AI2" s="4028"/>
      <c r="AJ2" s="4028"/>
      <c r="AK2" s="4028"/>
      <c r="AL2" s="4029"/>
      <c r="AM2" s="1182" t="s">
        <v>604</v>
      </c>
      <c r="AO2" s="434"/>
      <c r="AP2" s="434" t="str">
        <f t="shared" ref="AP2:AP15" si="0">IF(T2="","",T2)</f>
        <v>Наименование тарифа</v>
      </c>
      <c r="AQ2" s="434"/>
      <c r="AR2" s="434"/>
      <c r="AS2" s="1079">
        <v>0</v>
      </c>
    </row>
    <row r="3" spans="1:45" ht="21" hidden="1" customHeight="1">
      <c r="A3" s="1287"/>
      <c r="B3" s="1287"/>
      <c r="C3" s="1287"/>
      <c r="D3" s="1287"/>
      <c r="E3" s="4034"/>
      <c r="F3" s="4033">
        <v>1</v>
      </c>
      <c r="G3" s="1287"/>
      <c r="H3" s="1287"/>
      <c r="I3" s="1287"/>
      <c r="J3" s="1287"/>
      <c r="K3" s="1287"/>
      <c r="L3" s="1288"/>
      <c r="M3" s="1289"/>
      <c r="N3" s="1289"/>
      <c r="O3" s="1289"/>
      <c r="P3" s="1256"/>
      <c r="Q3" s="286"/>
      <c r="R3" s="287"/>
      <c r="S3" s="1260" t="e">
        <f>INDEX(PT_DIFFERENTIATION_NUM_TER,MATCH(B3,PT_DIFFERENTIATION_TER_ID,0))</f>
        <v>#N/A</v>
      </c>
      <c r="T3" s="243" t="s">
        <v>605</v>
      </c>
      <c r="U3" s="235"/>
      <c r="V3" s="4027"/>
      <c r="W3" s="4028"/>
      <c r="X3" s="4028"/>
      <c r="Y3" s="4028"/>
      <c r="Z3" s="4028"/>
      <c r="AA3" s="4028"/>
      <c r="AB3" s="4028"/>
      <c r="AC3" s="4029"/>
      <c r="AD3" s="4027" t="e">
        <f>INDEX(PT_DIFFERENTIATION_TER,MATCH(B3,PT_DIFFERENTIATION_TER_ID,0))</f>
        <v>#N/A</v>
      </c>
      <c r="AE3" s="4028"/>
      <c r="AF3" s="4028"/>
      <c r="AG3" s="4028"/>
      <c r="AH3" s="4028"/>
      <c r="AI3" s="4028"/>
      <c r="AJ3" s="4028"/>
      <c r="AK3" s="4028"/>
      <c r="AL3" s="4029"/>
      <c r="AM3" s="1182" t="s">
        <v>606</v>
      </c>
      <c r="AO3" s="434"/>
      <c r="AP3" s="434" t="str">
        <f t="shared" si="0"/>
        <v>Территория действия тарифа</v>
      </c>
      <c r="AQ3" s="434"/>
      <c r="AR3" s="434"/>
      <c r="AS3" s="1079">
        <v>0</v>
      </c>
    </row>
    <row r="4" spans="1:45" ht="23.25" hidden="1" customHeight="1">
      <c r="A4" s="1287"/>
      <c r="B4" s="1287"/>
      <c r="C4" s="1287"/>
      <c r="D4" s="1287"/>
      <c r="E4" s="4034"/>
      <c r="F4" s="4034"/>
      <c r="G4" s="4033">
        <v>1</v>
      </c>
      <c r="H4" s="1287"/>
      <c r="I4" s="1287"/>
      <c r="J4" s="1287"/>
      <c r="K4" s="1287"/>
      <c r="L4" s="1288"/>
      <c r="M4" s="1289"/>
      <c r="N4" s="1289"/>
      <c r="O4" s="1289"/>
      <c r="P4" s="288"/>
      <c r="Q4" s="286"/>
      <c r="R4" s="287"/>
      <c r="S4" s="1900" t="e">
        <f>INDEX(PT_DIFFERENTIATION_NUM_CS,MATCH(C4,PT_DIFFERENTIATION_CS_ID,0))</f>
        <v>#N/A</v>
      </c>
      <c r="T4" s="1904" t="s">
        <v>607</v>
      </c>
      <c r="U4" s="1905"/>
      <c r="V4" s="4069"/>
      <c r="W4" s="4070"/>
      <c r="X4" s="4070"/>
      <c r="Y4" s="4070"/>
      <c r="Z4" s="4070"/>
      <c r="AA4" s="4070"/>
      <c r="AB4" s="4070"/>
      <c r="AC4" s="4071"/>
      <c r="AD4" s="4069" t="e">
        <f>INDEX(PT_DIFFERENTIATION_CS,MATCH(C4,PT_DIFFERENTIATION_CS_ID,0))</f>
        <v>#N/A</v>
      </c>
      <c r="AE4" s="4070"/>
      <c r="AF4" s="4070"/>
      <c r="AG4" s="4070"/>
      <c r="AH4" s="4070"/>
      <c r="AI4" s="4070"/>
      <c r="AJ4" s="4070"/>
      <c r="AK4" s="4070"/>
      <c r="AL4" s="4071"/>
      <c r="AM4" s="1182" t="s">
        <v>608</v>
      </c>
      <c r="AO4" s="434"/>
      <c r="AP4" s="434" t="str">
        <f t="shared" si="0"/>
        <v xml:space="preserve">Наименование системы теплоснабжения </v>
      </c>
      <c r="AQ4" s="434"/>
      <c r="AR4" s="434"/>
      <c r="AS4" s="1079">
        <v>0</v>
      </c>
    </row>
    <row r="5" spans="1:45" ht="21" hidden="1" customHeight="1">
      <c r="A5" s="1287"/>
      <c r="B5" s="1287"/>
      <c r="C5" s="1287"/>
      <c r="D5" s="1287"/>
      <c r="E5" s="4034"/>
      <c r="F5" s="4034"/>
      <c r="G5" s="4034"/>
      <c r="H5" s="4033">
        <v>1</v>
      </c>
      <c r="I5" s="1287"/>
      <c r="J5" s="1287"/>
      <c r="K5" s="1287"/>
      <c r="L5" s="1288"/>
      <c r="M5" s="1289"/>
      <c r="N5" s="1289"/>
      <c r="O5" s="1289"/>
      <c r="P5" s="288"/>
      <c r="Q5" s="286"/>
      <c r="R5" s="1559"/>
      <c r="S5" s="1899" t="e">
        <f>INDEX(PT_DIFFERENTIATION_NUM_IST_TE,MATCH(D5,PT_DIFFERENTIATION_IST_TE_ID,0))</f>
        <v>#N/A</v>
      </c>
      <c r="T5" s="245" t="s">
        <v>609</v>
      </c>
      <c r="U5" s="235"/>
      <c r="V5" s="4072"/>
      <c r="W5" s="4072"/>
      <c r="X5" s="4072"/>
      <c r="Y5" s="4072"/>
      <c r="Z5" s="4072"/>
      <c r="AA5" s="4072"/>
      <c r="AB5" s="4072"/>
      <c r="AC5" s="4072"/>
      <c r="AD5" s="4072" t="e">
        <f>INDEX(PT_DIFFERENTIATION_IST_TE,MATCH(D5,PT_DIFFERENTIATION_IST_TE_ID,0))</f>
        <v>#N/A</v>
      </c>
      <c r="AE5" s="4072"/>
      <c r="AF5" s="4072"/>
      <c r="AG5" s="4072"/>
      <c r="AH5" s="4072"/>
      <c r="AI5" s="4072"/>
      <c r="AJ5" s="4072"/>
      <c r="AK5" s="4072"/>
      <c r="AL5" s="4072"/>
      <c r="AM5" s="1902" t="s">
        <v>610</v>
      </c>
      <c r="AO5" s="434"/>
      <c r="AP5" s="434" t="str">
        <f t="shared" si="0"/>
        <v xml:space="preserve">Источник тепловой энергии  </v>
      </c>
      <c r="AQ5" s="434"/>
      <c r="AR5" s="434"/>
      <c r="AS5" s="1079">
        <v>0</v>
      </c>
    </row>
    <row r="6" spans="1:45" ht="0.75" hidden="1" customHeight="1">
      <c r="A6" s="1287"/>
      <c r="B6" s="1287"/>
      <c r="C6" s="1287"/>
      <c r="D6" s="1287"/>
      <c r="E6" s="4034"/>
      <c r="F6" s="4034"/>
      <c r="G6" s="4034"/>
      <c r="H6" s="4034"/>
      <c r="I6" s="4035" t="e">
        <f>S5&amp;".1"</f>
        <v>#N/A</v>
      </c>
      <c r="J6" s="1287"/>
      <c r="K6" s="1287"/>
      <c r="L6" s="1288" t="s">
        <v>611</v>
      </c>
      <c r="M6" s="471"/>
      <c r="P6" s="4037">
        <v>1</v>
      </c>
      <c r="Q6" s="1255"/>
      <c r="R6" s="1898"/>
      <c r="S6" s="969"/>
      <c r="T6" s="1307"/>
      <c r="U6" s="1308"/>
      <c r="V6" s="4073"/>
      <c r="W6" s="4073"/>
      <c r="X6" s="4073"/>
      <c r="Y6" s="4073"/>
      <c r="Z6" s="4073"/>
      <c r="AA6" s="4073"/>
      <c r="AB6" s="4073"/>
      <c r="AC6" s="4073"/>
      <c r="AD6" s="4073"/>
      <c r="AE6" s="4073"/>
      <c r="AF6" s="4073"/>
      <c r="AG6" s="4073"/>
      <c r="AH6" s="4073"/>
      <c r="AI6" s="4073"/>
      <c r="AJ6" s="4073"/>
      <c r="AK6" s="4073"/>
      <c r="AL6" s="4073"/>
      <c r="AM6" s="1903"/>
      <c r="AO6" s="434"/>
      <c r="AP6" s="434" t="str">
        <f t="shared" si="0"/>
        <v/>
      </c>
      <c r="AQ6" s="434"/>
      <c r="AR6" s="434"/>
      <c r="AS6" s="1079">
        <v>0</v>
      </c>
    </row>
    <row r="7" spans="1:45" ht="84" hidden="1" customHeight="1">
      <c r="A7" s="1287"/>
      <c r="B7" s="1287"/>
      <c r="C7" s="1287"/>
      <c r="D7" s="1287"/>
      <c r="E7" s="4034"/>
      <c r="F7" s="4034"/>
      <c r="G7" s="4034"/>
      <c r="H7" s="4034"/>
      <c r="I7" s="4036"/>
      <c r="J7" s="4035" t="e">
        <f>I6&amp;".1"</f>
        <v>#N/A</v>
      </c>
      <c r="K7" s="1287"/>
      <c r="L7" s="1288" t="s">
        <v>614</v>
      </c>
      <c r="M7" s="471"/>
      <c r="N7" s="1290"/>
      <c r="P7" s="4037"/>
      <c r="Q7" s="4037">
        <v>1</v>
      </c>
      <c r="R7" s="1566"/>
      <c r="S7" s="1899" t="e">
        <f>$J7</f>
        <v>#N/A</v>
      </c>
      <c r="T7" s="221" t="s">
        <v>615</v>
      </c>
      <c r="U7" s="235"/>
      <c r="V7" s="4067"/>
      <c r="W7" s="4067"/>
      <c r="X7" s="4067"/>
      <c r="Y7" s="4067"/>
      <c r="Z7" s="4067"/>
      <c r="AA7" s="4067"/>
      <c r="AB7" s="4067"/>
      <c r="AC7" s="4067"/>
      <c r="AD7" s="4067"/>
      <c r="AE7" s="4067"/>
      <c r="AF7" s="4067"/>
      <c r="AG7" s="4067"/>
      <c r="AH7" s="4067"/>
      <c r="AI7" s="4067"/>
      <c r="AJ7" s="4067"/>
      <c r="AK7" s="4067"/>
      <c r="AL7" s="4067"/>
      <c r="AM7" s="1902" t="s">
        <v>616</v>
      </c>
      <c r="AO7" s="434"/>
      <c r="AP7" s="434" t="str">
        <f t="shared" si="0"/>
        <v>Группа потребителей</v>
      </c>
      <c r="AQ7" s="434"/>
      <c r="AR7" s="434"/>
      <c r="AS7" s="1079">
        <v>0</v>
      </c>
    </row>
    <row r="8" spans="1:45" ht="11.25" hidden="1" customHeight="1">
      <c r="A8" s="1287"/>
      <c r="B8" s="1287"/>
      <c r="C8" s="1287"/>
      <c r="D8" s="1287"/>
      <c r="E8" s="4034"/>
      <c r="F8" s="4034"/>
      <c r="G8" s="4034"/>
      <c r="H8" s="4034"/>
      <c r="I8" s="4036"/>
      <c r="J8" s="4036"/>
      <c r="K8" s="4035" t="e">
        <f>J7&amp;".1"</f>
        <v>#N/A</v>
      </c>
      <c r="L8" s="1288" t="s">
        <v>617</v>
      </c>
      <c r="M8" s="471"/>
      <c r="N8" s="1290"/>
      <c r="O8" s="1290"/>
      <c r="P8" s="4037"/>
      <c r="Q8" s="4037"/>
      <c r="R8" s="291">
        <v>1</v>
      </c>
      <c r="S8" s="1901" t="e">
        <f>$K8</f>
        <v>#N/A</v>
      </c>
      <c r="T8" s="1906"/>
      <c r="U8" s="1907"/>
      <c r="V8" s="1908"/>
      <c r="W8" s="1273"/>
      <c r="X8" s="1908"/>
      <c r="Y8" s="1909"/>
      <c r="Z8" s="4068"/>
      <c r="AA8" s="3904" t="s">
        <v>53</v>
      </c>
      <c r="AB8" s="4068"/>
      <c r="AC8" s="3904" t="s">
        <v>53</v>
      </c>
      <c r="AD8" s="1908"/>
      <c r="AE8" s="1273"/>
      <c r="AF8" s="1908"/>
      <c r="AG8" s="1909"/>
      <c r="AH8" s="4068"/>
      <c r="AI8" s="3904" t="s">
        <v>53</v>
      </c>
      <c r="AJ8" s="4068"/>
      <c r="AK8" s="3904" t="s">
        <v>53</v>
      </c>
      <c r="AL8" s="1273"/>
      <c r="AM8" s="4056" t="s">
        <v>618</v>
      </c>
      <c r="AN8" s="445" t="e">
        <f ca="1">STRCHECKDATE(V9:AL9)</f>
        <v>#NAME?</v>
      </c>
      <c r="AO8" s="434"/>
      <c r="AP8" s="434" t="str">
        <f t="shared" si="0"/>
        <v/>
      </c>
      <c r="AQ8" s="434"/>
      <c r="AR8" s="434"/>
      <c r="AS8" s="1079">
        <v>0</v>
      </c>
    </row>
    <row r="9" spans="1:45" ht="0.75" hidden="1" customHeight="1">
      <c r="A9" s="1287"/>
      <c r="B9" s="1287"/>
      <c r="C9" s="1287"/>
      <c r="D9" s="1287"/>
      <c r="E9" s="4034"/>
      <c r="F9" s="4034"/>
      <c r="G9" s="4034"/>
      <c r="H9" s="4034"/>
      <c r="I9" s="4036"/>
      <c r="J9" s="4036"/>
      <c r="K9" s="4035"/>
      <c r="L9" s="1288"/>
      <c r="M9" s="471"/>
      <c r="N9" s="1290"/>
      <c r="O9" s="1290"/>
      <c r="P9" s="4037"/>
      <c r="Q9" s="4037"/>
      <c r="R9" s="291"/>
      <c r="S9" s="1266"/>
      <c r="T9" s="235"/>
      <c r="U9" s="235"/>
      <c r="V9" s="260"/>
      <c r="W9" s="260"/>
      <c r="X9" s="260"/>
      <c r="Y9" s="263" t="str">
        <f>Z8&amp;"-"&amp;AB8</f>
        <v>-</v>
      </c>
      <c r="Z9" s="4039"/>
      <c r="AA9" s="3899"/>
      <c r="AB9" s="4039"/>
      <c r="AC9" s="3899"/>
      <c r="AD9" s="260"/>
      <c r="AE9" s="260"/>
      <c r="AF9" s="260"/>
      <c r="AG9" s="263" t="str">
        <f>AH8&amp;"-"&amp;AJ8</f>
        <v>-</v>
      </c>
      <c r="AH9" s="4039"/>
      <c r="AI9" s="3899"/>
      <c r="AJ9" s="4039"/>
      <c r="AK9" s="3899"/>
      <c r="AL9" s="260"/>
      <c r="AM9" s="4057"/>
      <c r="AO9" s="434"/>
      <c r="AP9" s="434" t="str">
        <f t="shared" si="0"/>
        <v/>
      </c>
      <c r="AQ9" s="434"/>
      <c r="AR9" s="434"/>
      <c r="AS9" s="1079">
        <v>0</v>
      </c>
    </row>
    <row r="10" spans="1:45" ht="11.25" hidden="1" customHeight="1">
      <c r="A10" s="1287"/>
      <c r="B10" s="1287"/>
      <c r="C10" s="1287"/>
      <c r="D10" s="1287"/>
      <c r="E10" s="4034"/>
      <c r="F10" s="4034"/>
      <c r="G10" s="4034"/>
      <c r="H10" s="4034"/>
      <c r="I10" s="4036"/>
      <c r="J10" s="4035"/>
      <c r="K10" s="1287"/>
      <c r="L10" s="1288"/>
      <c r="M10" s="471"/>
      <c r="N10" s="1290"/>
      <c r="P10" s="4037"/>
      <c r="Q10" s="4037"/>
      <c r="R10" s="290"/>
      <c r="S10" s="1202"/>
      <c r="T10" s="222" t="s">
        <v>619</v>
      </c>
      <c r="U10" s="301"/>
      <c r="V10" s="301"/>
      <c r="W10" s="301"/>
      <c r="X10" s="301"/>
      <c r="Y10" s="301"/>
      <c r="Z10" s="301"/>
      <c r="AA10" s="301"/>
      <c r="AB10" s="301"/>
      <c r="AC10" s="301"/>
      <c r="AD10" s="301"/>
      <c r="AE10" s="301"/>
      <c r="AF10" s="301"/>
      <c r="AG10" s="301"/>
      <c r="AH10" s="301"/>
      <c r="AI10" s="301"/>
      <c r="AJ10" s="301"/>
      <c r="AK10" s="301"/>
      <c r="AL10" s="259"/>
      <c r="AM10" s="4058"/>
      <c r="AO10" s="434"/>
      <c r="AP10" s="434" t="str">
        <f t="shared" si="0"/>
        <v>Добавить вид теплоносителя (параметры теплоносителя)</v>
      </c>
      <c r="AQ10" s="434"/>
      <c r="AR10" s="434"/>
      <c r="AS10" s="1079">
        <v>0</v>
      </c>
    </row>
    <row r="11" spans="1:45" ht="11.25" hidden="1" customHeight="1">
      <c r="A11" s="1287"/>
      <c r="B11" s="1287"/>
      <c r="C11" s="1287"/>
      <c r="D11" s="1287"/>
      <c r="E11" s="4034"/>
      <c r="F11" s="4034"/>
      <c r="G11" s="4034"/>
      <c r="H11" s="4034"/>
      <c r="I11" s="4035"/>
      <c r="J11" s="1287"/>
      <c r="K11" s="1287"/>
      <c r="L11" s="1288"/>
      <c r="M11" s="471"/>
      <c r="P11" s="4037"/>
      <c r="Q11" s="1255"/>
      <c r="R11" s="290"/>
      <c r="S11" s="1202"/>
      <c r="T11" s="299" t="s">
        <v>620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9">
        <v>0</v>
      </c>
    </row>
    <row r="12" spans="1:45" ht="0.75" hidden="1" customHeight="1">
      <c r="A12" s="1287"/>
      <c r="B12" s="1287"/>
      <c r="C12" s="1287"/>
      <c r="D12" s="1287"/>
      <c r="E12" s="4034"/>
      <c r="F12" s="4034"/>
      <c r="G12" s="4034"/>
      <c r="H12" s="4033"/>
      <c r="I12" s="1287"/>
      <c r="J12" s="1287"/>
      <c r="K12" s="1287"/>
      <c r="L12" s="1288"/>
      <c r="M12" s="1289"/>
      <c r="N12" s="1289"/>
      <c r="O12" s="471"/>
      <c r="P12" s="294"/>
      <c r="Q12" s="309"/>
      <c r="R12" s="289"/>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4"/>
      <c r="AP12" s="434" t="str">
        <f t="shared" si="0"/>
        <v/>
      </c>
      <c r="AQ12" s="434"/>
      <c r="AR12" s="434"/>
      <c r="AS12" s="1079">
        <v>0</v>
      </c>
    </row>
    <row r="13" spans="1:45" s="1566" customFormat="1" ht="0.75" hidden="1" customHeight="1">
      <c r="A13" s="1238"/>
      <c r="B13" s="1238"/>
      <c r="C13" s="1238"/>
      <c r="D13" s="1238"/>
      <c r="E13" s="4034"/>
      <c r="F13" s="4034"/>
      <c r="G13" s="4033"/>
      <c r="H13" s="1238"/>
      <c r="I13" s="1238"/>
      <c r="J13" s="1238"/>
      <c r="K13" s="1238"/>
      <c r="L13" s="1263"/>
      <c r="M13" s="1239"/>
      <c r="N13" s="1239"/>
      <c r="P13" s="1240"/>
      <c r="Q13" s="1241"/>
      <c r="R13" s="1240"/>
      <c r="S13" s="1242"/>
      <c r="T13" s="1243" t="s">
        <v>235</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2">
        <v>0</v>
      </c>
    </row>
    <row r="14" spans="1:45" s="1566" customFormat="1" ht="0.75" hidden="1" customHeight="1">
      <c r="A14" s="1238"/>
      <c r="B14" s="1238"/>
      <c r="C14" s="1238"/>
      <c r="D14" s="1238"/>
      <c r="E14" s="4034"/>
      <c r="F14" s="4033"/>
      <c r="G14" s="1238"/>
      <c r="H14" s="1238"/>
      <c r="I14" s="1238"/>
      <c r="J14" s="1238"/>
      <c r="K14" s="1238"/>
      <c r="L14" s="1263"/>
      <c r="M14" s="1245"/>
      <c r="N14" s="1245"/>
      <c r="P14" s="1240"/>
      <c r="Q14" s="1241"/>
      <c r="R14" s="1240"/>
      <c r="S14" s="1246"/>
      <c r="T14" s="1247" t="s">
        <v>236</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2">
        <v>0</v>
      </c>
    </row>
    <row r="15" spans="1:45" s="1566" customFormat="1" ht="0.75" hidden="1" customHeight="1">
      <c r="A15" s="1238"/>
      <c r="B15" s="1238"/>
      <c r="C15" s="1238"/>
      <c r="D15" s="1238"/>
      <c r="E15" s="4033"/>
      <c r="F15" s="1238"/>
      <c r="G15" s="1238"/>
      <c r="H15" s="1238"/>
      <c r="I15" s="1238"/>
      <c r="J15" s="1238"/>
      <c r="K15" s="1238"/>
      <c r="L15" s="1263"/>
      <c r="M15" s="1245"/>
      <c r="N15" s="1245"/>
      <c r="P15" s="1240"/>
      <c r="Q15" s="1241"/>
      <c r="R15" s="1240"/>
      <c r="S15" s="1246"/>
      <c r="T15" s="1249" t="s">
        <v>286</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2">
        <v>0</v>
      </c>
    </row>
    <row r="16" spans="1:45" ht="14.25" hidden="1" customHeight="1">
      <c r="AC16" s="262"/>
      <c r="AK16" s="262"/>
      <c r="AS16" s="1079">
        <v>0</v>
      </c>
    </row>
    <row r="17" spans="1:45" ht="14.25" hidden="1" customHeight="1">
      <c r="AD17" s="1284"/>
      <c r="AE17" s="1284"/>
      <c r="AF17" s="1284"/>
      <c r="AG17" s="1285"/>
      <c r="AH17" s="4031"/>
      <c r="AI17" s="4030" t="s">
        <v>53</v>
      </c>
      <c r="AJ17" s="4031"/>
      <c r="AK17" s="4030" t="s">
        <v>53</v>
      </c>
      <c r="AS17" s="1079">
        <v>0</v>
      </c>
    </row>
    <row r="18" spans="1:45" ht="14.25" hidden="1" customHeight="1">
      <c r="AD18" s="1284"/>
      <c r="AE18" s="1284"/>
      <c r="AF18" s="1284"/>
      <c r="AG18" s="263" t="str">
        <f>AH17&amp;"-"&amp;AJ17</f>
        <v>-</v>
      </c>
      <c r="AH18" s="4030"/>
      <c r="AI18" s="4030"/>
      <c r="AJ18" s="4030"/>
      <c r="AK18" s="4030"/>
      <c r="AS18" s="1079">
        <v>0</v>
      </c>
    </row>
    <row r="19" spans="1:45" ht="14.25" hidden="1" customHeight="1">
      <c r="AK19" s="262"/>
      <c r="AS19" s="1079">
        <v>0</v>
      </c>
    </row>
    <row r="20" spans="1:45" s="1290" customFormat="1" ht="22.5" hidden="1" customHeight="1">
      <c r="L20" s="1253"/>
      <c r="M20" s="1286"/>
      <c r="N20" s="1286"/>
      <c r="O20" s="1291" t="s">
        <v>622</v>
      </c>
      <c r="P20" s="1286"/>
      <c r="Q20" s="1295"/>
      <c r="R20" s="1295"/>
      <c r="S20" s="663"/>
      <c r="Z20" s="1291"/>
      <c r="AB20" s="1291"/>
      <c r="AH20" s="1291"/>
      <c r="AJ20" s="1291"/>
      <c r="AN20" s="445"/>
      <c r="AO20" s="445"/>
      <c r="AP20" s="445"/>
      <c r="AQ20" s="445"/>
      <c r="AR20" s="445"/>
      <c r="AS20" s="1084">
        <v>0</v>
      </c>
    </row>
    <row r="21" spans="1:45" s="1290" customFormat="1" ht="14.25" hidden="1" customHeight="1">
      <c r="L21" s="1253"/>
      <c r="M21" s="1286"/>
      <c r="N21" s="1286"/>
      <c r="O21" s="1286"/>
      <c r="P21" s="1286"/>
      <c r="Q21" s="1295"/>
      <c r="R21" s="1295"/>
      <c r="S21" s="663"/>
      <c r="AN21" s="445"/>
      <c r="AO21" s="445"/>
      <c r="AP21" s="445"/>
      <c r="AQ21" s="445"/>
      <c r="AR21" s="445"/>
      <c r="AS21" s="1084">
        <v>0</v>
      </c>
    </row>
    <row r="22" spans="1:45" s="1290" customFormat="1" ht="14.25" hidden="1" customHeight="1">
      <c r="L22" s="1253"/>
      <c r="M22" s="1286"/>
      <c r="N22" s="1286"/>
      <c r="O22" s="1288" t="s">
        <v>623</v>
      </c>
      <c r="P22" s="1286"/>
      <c r="Q22" s="1295"/>
      <c r="R22" s="1295"/>
      <c r="S22" s="663"/>
      <c r="T22" s="1084" t="s">
        <v>624</v>
      </c>
      <c r="AA22" s="121" t="s">
        <v>625</v>
      </c>
      <c r="AC22" s="121" t="s">
        <v>626</v>
      </c>
      <c r="AD22" s="1084" t="s">
        <v>624</v>
      </c>
      <c r="AI22" s="121" t="s">
        <v>627</v>
      </c>
      <c r="AK22" s="121" t="s">
        <v>626</v>
      </c>
      <c r="AN22" s="445"/>
      <c r="AO22" s="445"/>
      <c r="AP22" s="445"/>
      <c r="AQ22" s="445"/>
      <c r="AR22" s="445"/>
      <c r="AS22" s="1084">
        <v>0</v>
      </c>
    </row>
    <row r="23" spans="1:45" ht="14.25" hidden="1" customHeight="1">
      <c r="O23" s="1288"/>
      <c r="AS23" s="1079">
        <v>0</v>
      </c>
    </row>
    <row r="24" spans="1:45" ht="14.25" hidden="1" customHeight="1">
      <c r="O24" s="1288"/>
      <c r="AS24" s="1079">
        <v>0</v>
      </c>
    </row>
    <row r="25" spans="1:45" ht="14.65" customHeight="1">
      <c r="Q25" s="310"/>
      <c r="R25" s="310"/>
      <c r="S25" s="1199"/>
      <c r="T25" s="297"/>
      <c r="U25" s="297"/>
      <c r="V25" s="443"/>
      <c r="W25" s="443"/>
      <c r="X25" s="443"/>
      <c r="Y25" s="443"/>
      <c r="Z25" s="443"/>
      <c r="AA25" s="443"/>
      <c r="AB25" s="443"/>
      <c r="AC25" s="443"/>
      <c r="AD25" s="443"/>
      <c r="AE25" s="443"/>
      <c r="AF25" s="443"/>
      <c r="AG25" s="443"/>
      <c r="AH25" s="443"/>
      <c r="AI25" s="443"/>
      <c r="AJ25" s="443"/>
      <c r="AK25" s="443"/>
      <c r="AS25" s="1079">
        <v>14</v>
      </c>
    </row>
    <row r="26" spans="1:45" ht="54.75" customHeight="1">
      <c r="Q26" s="310"/>
      <c r="R26" s="310"/>
      <c r="S26" s="39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966"/>
      <c r="U26" s="3966"/>
      <c r="V26" s="3966"/>
      <c r="W26" s="3966"/>
      <c r="X26" s="3966"/>
      <c r="Y26" s="3966"/>
      <c r="Z26" s="3966"/>
      <c r="AA26" s="3966"/>
      <c r="AB26" s="3966"/>
      <c r="AC26" s="3966"/>
      <c r="AD26" s="3966"/>
      <c r="AE26" s="3966"/>
      <c r="AF26" s="3966"/>
      <c r="AG26" s="3966"/>
      <c r="AH26" s="3966"/>
      <c r="AI26" s="3966"/>
      <c r="AJ26" s="3966"/>
      <c r="AK26" s="1167"/>
      <c r="AS26" s="1079">
        <v>52</v>
      </c>
    </row>
    <row r="27" spans="1:45" ht="14.65" customHeight="1">
      <c r="Q27" s="310"/>
      <c r="R27" s="310"/>
      <c r="S27" s="3987" t="str">
        <f>IF(org=0,"Не определено",org)</f>
        <v>ООО "Смоленскрегионтеплоэнерго"</v>
      </c>
      <c r="T27" s="3987"/>
      <c r="U27" s="3987"/>
      <c r="V27" s="3987"/>
      <c r="W27" s="3987"/>
      <c r="X27" s="3987"/>
      <c r="Y27" s="3987"/>
      <c r="Z27" s="3987"/>
      <c r="AA27" s="3987"/>
      <c r="AB27" s="3987"/>
      <c r="AC27" s="3987"/>
      <c r="AD27" s="3987"/>
      <c r="AE27" s="3987"/>
      <c r="AF27" s="3987"/>
      <c r="AG27" s="3987"/>
      <c r="AH27" s="3987"/>
      <c r="AI27" s="3987"/>
      <c r="AJ27" s="3987"/>
      <c r="AK27" s="1167"/>
      <c r="AS27" s="1079">
        <v>14</v>
      </c>
    </row>
    <row r="28" spans="1:45" ht="14.25" hidden="1" customHeight="1">
      <c r="Q28" s="310"/>
      <c r="R28" s="310"/>
      <c r="S28" s="1199"/>
      <c r="T28" s="297"/>
      <c r="U28" s="297"/>
      <c r="V28" s="257"/>
      <c r="W28" s="257"/>
      <c r="X28" s="257"/>
      <c r="Y28" s="257"/>
      <c r="Z28" s="257"/>
      <c r="AA28" s="257"/>
      <c r="AB28" s="257"/>
      <c r="AC28" s="257"/>
      <c r="AD28" s="257"/>
      <c r="AE28" s="257"/>
      <c r="AF28" s="257"/>
      <c r="AG28" s="257"/>
      <c r="AH28" s="257"/>
      <c r="AI28" s="257"/>
      <c r="AJ28" s="257"/>
      <c r="AK28" s="257"/>
      <c r="AL28" s="443"/>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4024" t="s">
        <v>29</v>
      </c>
      <c r="T29" s="4024"/>
      <c r="U29" s="1296"/>
      <c r="V29" s="4026" t="str">
        <f>IF(TITLE_NAME_OR_PR_CHANGE="",IF(TITLE_NAME_OR_PR="","",TITLE_NAME_OR_PR),TITLE_NAME_OR_PR_CHANGE)</f>
        <v/>
      </c>
      <c r="W29" s="4026"/>
      <c r="X29" s="4026"/>
      <c r="Y29" s="4026"/>
      <c r="Z29" s="4026"/>
      <c r="AA29" s="4026"/>
      <c r="AB29" s="4026"/>
      <c r="AC29" s="261"/>
      <c r="AD29" s="4026" t="str">
        <f>IF(TITLE_NAME_OR_PR_CHANGE="",IF(TITLE_NAME_OR_PR="","",TITLE_NAME_OR_PR),TITLE_NAME_OR_PR_CHANGE)</f>
        <v/>
      </c>
      <c r="AE29" s="4026"/>
      <c r="AF29" s="4026"/>
      <c r="AG29" s="4026"/>
      <c r="AH29" s="4026"/>
      <c r="AI29" s="4026"/>
      <c r="AJ29" s="4026"/>
      <c r="AK29" s="261"/>
      <c r="AL29" s="261"/>
      <c r="AM29" s="215"/>
      <c r="AN29" s="302"/>
      <c r="AO29" s="302"/>
      <c r="AP29" s="302"/>
      <c r="AQ29" s="302"/>
      <c r="AR29" s="302"/>
      <c r="AS29" s="352">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4024" t="s">
        <v>628</v>
      </c>
      <c r="T30" s="4024"/>
      <c r="U30" s="1296"/>
      <c r="V30" s="4025">
        <f>IF(TITLE_DATE_PR_CHANGE="",IF(TITLE_DATE_PR="","",TITLE_DATE_PR),TITLE_DATE_PR_CHANGE)</f>
        <v>45765</v>
      </c>
      <c r="W30" s="4025"/>
      <c r="X30" s="4025"/>
      <c r="Y30" s="4025"/>
      <c r="Z30" s="4025"/>
      <c r="AA30" s="4025"/>
      <c r="AB30" s="4025"/>
      <c r="AC30" s="261"/>
      <c r="AD30" s="4025">
        <f>IF(TITLE_DATE_PR_CHANGE="",IF(TITLE_DATE_PR="","",TITLE_DATE_PR),TITLE_DATE_PR_CHANGE)</f>
        <v>45765</v>
      </c>
      <c r="AE30" s="4025"/>
      <c r="AF30" s="4025"/>
      <c r="AG30" s="4025"/>
      <c r="AH30" s="4025"/>
      <c r="AI30" s="4025"/>
      <c r="AJ30" s="4025"/>
      <c r="AK30" s="261"/>
      <c r="AL30" s="261"/>
      <c r="AM30" s="215"/>
      <c r="AN30" s="302"/>
      <c r="AO30" s="302"/>
      <c r="AP30" s="302"/>
      <c r="AQ30" s="302"/>
      <c r="AR30" s="302"/>
      <c r="AS30" s="352">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4024" t="s">
        <v>629</v>
      </c>
      <c r="T31" s="4024"/>
      <c r="U31" s="1296"/>
      <c r="V31" s="4026" t="str">
        <f>IF(TITLE_NUMBER_PR_CHANGE="",IF(TITLE_NUMBER_PR="","",TITLE_NUMBER_PR),TITLE_NUMBER_PR_CHANGE)</f>
        <v>917</v>
      </c>
      <c r="W31" s="4026"/>
      <c r="X31" s="4026"/>
      <c r="Y31" s="4026"/>
      <c r="Z31" s="4026"/>
      <c r="AA31" s="4026"/>
      <c r="AB31" s="4026"/>
      <c r="AC31" s="261"/>
      <c r="AD31" s="4026" t="str">
        <f>IF(TITLE_NUMBER_PR_CHANGE="",IF(TITLE_NUMBER_PR="","",TITLE_NUMBER_PR),TITLE_NUMBER_PR_CHANGE)</f>
        <v>917</v>
      </c>
      <c r="AE31" s="4026"/>
      <c r="AF31" s="4026"/>
      <c r="AG31" s="4026"/>
      <c r="AH31" s="4026"/>
      <c r="AI31" s="4026"/>
      <c r="AJ31" s="4026"/>
      <c r="AK31" s="261"/>
      <c r="AL31" s="261"/>
      <c r="AM31" s="215"/>
      <c r="AN31" s="302"/>
      <c r="AO31" s="302"/>
      <c r="AP31" s="302"/>
      <c r="AQ31" s="302"/>
      <c r="AR31" s="302"/>
      <c r="AS31" s="352">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4024" t="s">
        <v>30</v>
      </c>
      <c r="T32" s="4024"/>
      <c r="U32" s="1296"/>
      <c r="V32" s="4026" t="str">
        <f>IF(TITLE_IST_PUB_CHANGE="",IF(TITLE_IST_PUB="","",TITLE_IST_PUB),TITLE_IST_PUB_CHANGE)</f>
        <v/>
      </c>
      <c r="W32" s="4026"/>
      <c r="X32" s="4026"/>
      <c r="Y32" s="4026"/>
      <c r="Z32" s="4026"/>
      <c r="AA32" s="4026"/>
      <c r="AB32" s="4026"/>
      <c r="AC32" s="261"/>
      <c r="AD32" s="4026" t="str">
        <f>IF(TITLE_IST_PUB_CHANGE="",IF(TITLE_IST_PUB="","",TITLE_IST_PUB),TITLE_IST_PUB_CHANGE)</f>
        <v/>
      </c>
      <c r="AE32" s="4026"/>
      <c r="AF32" s="4026"/>
      <c r="AG32" s="4026"/>
      <c r="AH32" s="4026"/>
      <c r="AI32" s="4026"/>
      <c r="AJ32" s="4026"/>
      <c r="AK32" s="261"/>
      <c r="AL32" s="261"/>
      <c r="AM32" s="215"/>
      <c r="AN32" s="302"/>
      <c r="AO32" s="302"/>
      <c r="AP32" s="302"/>
      <c r="AQ32" s="302"/>
      <c r="AR32" s="302"/>
      <c r="AS32" s="352">
        <v>0</v>
      </c>
    </row>
    <row r="33" spans="1:45" ht="14.25" customHeight="1">
      <c r="Q33" s="310"/>
      <c r="R33" s="310"/>
      <c r="S33" s="1199"/>
      <c r="T33" s="297"/>
      <c r="U33" s="297"/>
      <c r="V33" s="257"/>
      <c r="W33" s="257"/>
      <c r="X33" s="257"/>
      <c r="Y33" s="257"/>
      <c r="Z33" s="257"/>
      <c r="AA33" s="257"/>
      <c r="AB33" s="257"/>
      <c r="AC33" s="257"/>
      <c r="AD33" s="257"/>
      <c r="AE33" s="257"/>
      <c r="AF33" s="257"/>
      <c r="AG33" s="257"/>
      <c r="AH33" s="257"/>
      <c r="AI33" s="257"/>
      <c r="AJ33" s="257"/>
      <c r="AK33" s="257"/>
      <c r="AL33" s="443"/>
      <c r="AS33" s="1079">
        <v>0</v>
      </c>
    </row>
    <row r="34" spans="1:45" s="1748" customFormat="1" ht="18.75" customHeight="1">
      <c r="A34" s="1292"/>
      <c r="B34" s="1292"/>
      <c r="C34" s="1292"/>
      <c r="D34" s="1292"/>
      <c r="E34" s="1292"/>
      <c r="F34" s="1292"/>
      <c r="G34" s="1292"/>
      <c r="H34" s="1292"/>
      <c r="I34" s="1292"/>
      <c r="J34" s="1292"/>
      <c r="K34" s="1292"/>
      <c r="L34" s="1293"/>
      <c r="M34" s="1292"/>
      <c r="N34" s="1292"/>
      <c r="O34" s="1292"/>
      <c r="S34" s="4024" t="s">
        <v>630</v>
      </c>
      <c r="T34" s="4024"/>
      <c r="U34" s="1296"/>
      <c r="V34" s="4025">
        <f>IF(TITLE_DATE_PR_CHANGE="",IF(TITLE_DATE_PR="","",TITLE_DATE_PR),TITLE_DATE_PR_CHANGE)</f>
        <v>45765</v>
      </c>
      <c r="W34" s="4025"/>
      <c r="X34" s="4025"/>
      <c r="Y34" s="4025"/>
      <c r="Z34" s="4025"/>
      <c r="AA34" s="4025"/>
      <c r="AB34" s="4025"/>
      <c r="AC34" s="261"/>
      <c r="AD34" s="4025">
        <f>IF(TITLE_DATE_PR_CHANGE="",IF(TITLE_DATE_PR="","",TITLE_DATE_PR),TITLE_DATE_PR_CHANGE)</f>
        <v>45765</v>
      </c>
      <c r="AE34" s="4025"/>
      <c r="AF34" s="4025"/>
      <c r="AG34" s="4025"/>
      <c r="AH34" s="4025"/>
      <c r="AI34" s="4025"/>
      <c r="AJ34" s="4025"/>
      <c r="AK34" s="261"/>
      <c r="AL34" s="261"/>
      <c r="AM34" s="215"/>
      <c r="AN34" s="302"/>
      <c r="AO34" s="302"/>
      <c r="AP34" s="302"/>
      <c r="AQ34" s="302"/>
      <c r="AR34" s="302"/>
      <c r="AS34" s="352">
        <v>0</v>
      </c>
    </row>
    <row r="35" spans="1:45" s="1748" customFormat="1" ht="18.75" customHeight="1">
      <c r="A35" s="1292"/>
      <c r="B35" s="1292"/>
      <c r="C35" s="1292"/>
      <c r="D35" s="1292"/>
      <c r="E35" s="1292"/>
      <c r="F35" s="1292"/>
      <c r="G35" s="1292"/>
      <c r="H35" s="1292"/>
      <c r="I35" s="1292"/>
      <c r="J35" s="1292"/>
      <c r="K35" s="1292"/>
      <c r="L35" s="1293"/>
      <c r="M35" s="1292"/>
      <c r="N35" s="1292"/>
      <c r="O35" s="1292"/>
      <c r="S35" s="4024" t="s">
        <v>631</v>
      </c>
      <c r="T35" s="4024"/>
      <c r="U35" s="1296"/>
      <c r="V35" s="4026" t="str">
        <f>IF(TITLE_NUMBER_PR_CHANGE="",IF(TITLE_NUMBER_PR="","",TITLE_NUMBER_PR),TITLE_NUMBER_PR_CHANGE)</f>
        <v>917</v>
      </c>
      <c r="W35" s="4026"/>
      <c r="X35" s="4026"/>
      <c r="Y35" s="4026"/>
      <c r="Z35" s="4026"/>
      <c r="AA35" s="4026"/>
      <c r="AB35" s="4026"/>
      <c r="AC35" s="261"/>
      <c r="AD35" s="4026" t="str">
        <f>IF(TITLE_NUMBER_PR_CHANGE="",IF(TITLE_NUMBER_PR="","",TITLE_NUMBER_PR),TITLE_NUMBER_PR_CHANGE)</f>
        <v>917</v>
      </c>
      <c r="AE35" s="4026"/>
      <c r="AF35" s="4026"/>
      <c r="AG35" s="4026"/>
      <c r="AH35" s="4026"/>
      <c r="AI35" s="4026"/>
      <c r="AJ35" s="4026"/>
      <c r="AK35" s="261"/>
      <c r="AL35" s="261"/>
      <c r="AM35" s="215"/>
      <c r="AN35" s="302"/>
      <c r="AO35" s="302"/>
      <c r="AP35" s="302"/>
      <c r="AQ35" s="302"/>
      <c r="AR35" s="302"/>
      <c r="AS35" s="352">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632</v>
      </c>
      <c r="AD36" s="261"/>
      <c r="AE36" s="261"/>
      <c r="AF36" s="261"/>
      <c r="AG36" s="261"/>
      <c r="AH36" s="261"/>
      <c r="AI36" s="261"/>
      <c r="AJ36" s="261"/>
      <c r="AK36" s="213" t="s">
        <v>632</v>
      </c>
      <c r="AN36" s="302"/>
      <c r="AO36" s="302"/>
      <c r="AP36" s="302"/>
      <c r="AQ36" s="302"/>
      <c r="AR36" s="302"/>
      <c r="AS36" s="352">
        <v>0</v>
      </c>
    </row>
    <row r="37" spans="1:45" ht="14.65" customHeight="1">
      <c r="Q37" s="310"/>
      <c r="R37" s="310"/>
      <c r="S37" s="1199"/>
      <c r="T37" s="297"/>
      <c r="U37" s="1168"/>
      <c r="V37" s="4045"/>
      <c r="W37" s="4045"/>
      <c r="X37" s="4045"/>
      <c r="Y37" s="4045"/>
      <c r="Z37" s="4045"/>
      <c r="AA37" s="4045"/>
      <c r="AB37" s="4045"/>
      <c r="AC37" s="4045"/>
      <c r="AD37" s="4045"/>
      <c r="AE37" s="4045"/>
      <c r="AF37" s="4045"/>
      <c r="AG37" s="4045"/>
      <c r="AH37" s="4045"/>
      <c r="AI37" s="4045"/>
      <c r="AJ37" s="4045"/>
      <c r="AK37" s="4045"/>
      <c r="AS37" s="1079">
        <v>14</v>
      </c>
    </row>
    <row r="38" spans="1:45" ht="14.65" customHeight="1">
      <c r="Q38" s="310"/>
      <c r="R38" s="310"/>
      <c r="S38" s="3889" t="s">
        <v>508</v>
      </c>
      <c r="T38" s="3889"/>
      <c r="U38" s="3889"/>
      <c r="V38" s="3889"/>
      <c r="W38" s="3889"/>
      <c r="X38" s="3889"/>
      <c r="Y38" s="3889"/>
      <c r="Z38" s="3889"/>
      <c r="AA38" s="3889"/>
      <c r="AB38" s="3889"/>
      <c r="AC38" s="3889"/>
      <c r="AD38" s="3889"/>
      <c r="AE38" s="3889"/>
      <c r="AF38" s="3889"/>
      <c r="AG38" s="3889"/>
      <c r="AH38" s="3889"/>
      <c r="AI38" s="3889"/>
      <c r="AJ38" s="3889"/>
      <c r="AK38" s="3889"/>
      <c r="AL38" s="3889"/>
      <c r="AM38" s="3889" t="s">
        <v>509</v>
      </c>
      <c r="AS38" s="1079">
        <v>14</v>
      </c>
    </row>
    <row r="39" spans="1:45" ht="14.65" customHeight="1">
      <c r="Q39" s="310"/>
      <c r="R39" s="310"/>
      <c r="S39" s="4046" t="s">
        <v>75</v>
      </c>
      <c r="T39" s="3995" t="s">
        <v>633</v>
      </c>
      <c r="U39" s="236"/>
      <c r="V39" s="4047" t="s">
        <v>634</v>
      </c>
      <c r="W39" s="4048"/>
      <c r="X39" s="4048"/>
      <c r="Y39" s="4048"/>
      <c r="Z39" s="4048"/>
      <c r="AA39" s="4048"/>
      <c r="AB39" s="4049"/>
      <c r="AC39" s="4050" t="s">
        <v>635</v>
      </c>
      <c r="AD39" s="4047" t="s">
        <v>634</v>
      </c>
      <c r="AE39" s="4048"/>
      <c r="AF39" s="4048"/>
      <c r="AG39" s="4048"/>
      <c r="AH39" s="4048"/>
      <c r="AI39" s="4048"/>
      <c r="AJ39" s="4049"/>
      <c r="AK39" s="4050" t="s">
        <v>636</v>
      </c>
      <c r="AL39" s="4053" t="s">
        <v>637</v>
      </c>
      <c r="AM39" s="3889"/>
      <c r="AS39" s="1079">
        <v>14</v>
      </c>
    </row>
    <row r="40" spans="1:45" ht="35.65" customHeight="1">
      <c r="Q40" s="310"/>
      <c r="R40" s="310"/>
      <c r="S40" s="4046"/>
      <c r="T40" s="3995"/>
      <c r="U40" s="958"/>
      <c r="V40" s="3967" t="s">
        <v>638</v>
      </c>
      <c r="W40" s="4042"/>
      <c r="X40" s="3870" t="s">
        <v>640</v>
      </c>
      <c r="Y40" s="3869"/>
      <c r="Z40" s="3870" t="s">
        <v>641</v>
      </c>
      <c r="AA40" s="3875"/>
      <c r="AB40" s="3869"/>
      <c r="AC40" s="4051"/>
      <c r="AD40" s="3967" t="s">
        <v>655</v>
      </c>
      <c r="AE40" s="4042"/>
      <c r="AF40" s="3870" t="s">
        <v>640</v>
      </c>
      <c r="AG40" s="3869"/>
      <c r="AH40" s="3870" t="s">
        <v>641</v>
      </c>
      <c r="AI40" s="3875"/>
      <c r="AJ40" s="3869"/>
      <c r="AK40" s="4051"/>
      <c r="AL40" s="4054"/>
      <c r="AM40" s="3889"/>
      <c r="AS40" s="1079">
        <v>34</v>
      </c>
    </row>
    <row r="41" spans="1:45" ht="35.65" customHeight="1">
      <c r="A41" s="1294"/>
      <c r="B41" s="1294" t="s">
        <v>207</v>
      </c>
      <c r="C41" s="1294" t="s">
        <v>208</v>
      </c>
      <c r="D41" s="1294" t="s">
        <v>209</v>
      </c>
      <c r="E41" s="1288" t="s">
        <v>642</v>
      </c>
      <c r="F41" s="1288" t="s">
        <v>643</v>
      </c>
      <c r="G41" s="1288" t="s">
        <v>644</v>
      </c>
      <c r="H41" s="1288" t="s">
        <v>645</v>
      </c>
      <c r="I41" s="1288" t="s">
        <v>646</v>
      </c>
      <c r="J41" s="1288" t="s">
        <v>647</v>
      </c>
      <c r="K41" s="1288" t="s">
        <v>648</v>
      </c>
      <c r="L41" s="1288" t="s">
        <v>623</v>
      </c>
      <c r="Q41" s="310"/>
      <c r="R41" s="310"/>
      <c r="S41" s="4046"/>
      <c r="T41" s="3995"/>
      <c r="U41" s="237"/>
      <c r="V41" s="4019"/>
      <c r="W41" s="4043"/>
      <c r="X41" s="1146" t="s">
        <v>649</v>
      </c>
      <c r="Y41" s="1146" t="s">
        <v>650</v>
      </c>
      <c r="Z41" s="1262" t="s">
        <v>651</v>
      </c>
      <c r="AA41" s="4000" t="s">
        <v>652</v>
      </c>
      <c r="AB41" s="4013"/>
      <c r="AC41" s="4052"/>
      <c r="AD41" s="4019"/>
      <c r="AE41" s="4043"/>
      <c r="AF41" s="1146" t="s">
        <v>649</v>
      </c>
      <c r="AG41" s="1146" t="s">
        <v>650</v>
      </c>
      <c r="AH41" s="1262" t="s">
        <v>651</v>
      </c>
      <c r="AI41" s="4000" t="s">
        <v>652</v>
      </c>
      <c r="AJ41" s="4013"/>
      <c r="AK41" s="4052"/>
      <c r="AL41" s="4055"/>
      <c r="AM41" s="3889"/>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184</v>
      </c>
      <c r="T42" s="1179" t="s">
        <v>89</v>
      </c>
      <c r="U42" s="1169" t="str">
        <f ca="1">OFFSET(U42,0,-1)</f>
        <v>2</v>
      </c>
      <c r="V42" s="1259">
        <f ca="1">OFFSET(V42,0,-1)+1</f>
        <v>3</v>
      </c>
      <c r="W42" s="1259"/>
      <c r="X42" s="1259">
        <f ca="1">OFFSET(X42,0,-1)+1</f>
        <v>1</v>
      </c>
      <c r="Y42" s="1259">
        <f ca="1">OFFSET(Y42,0,-1)+1</f>
        <v>2</v>
      </c>
      <c r="Z42" s="1259">
        <f ca="1">OFFSET(Z42,0,-1)+1</f>
        <v>3</v>
      </c>
      <c r="AA42" s="4044">
        <f ca="1">OFFSET(AA42,0,-1)+1</f>
        <v>4</v>
      </c>
      <c r="AB42" s="4044"/>
      <c r="AC42" s="1259">
        <f ca="1">OFFSET(AC42,0,-2)+1</f>
        <v>5</v>
      </c>
      <c r="AD42" s="1259">
        <f ca="1">OFFSET(AD42,0,-1)+1</f>
        <v>6</v>
      </c>
      <c r="AE42" s="1259"/>
      <c r="AF42" s="1259">
        <f ca="1">OFFSET(AF42,0,-1)+1</f>
        <v>1</v>
      </c>
      <c r="AG42" s="1259">
        <f ca="1">OFFSET(AG42,0,-1)+1</f>
        <v>2</v>
      </c>
      <c r="AH42" s="1259">
        <f ca="1">OFFSET(AH42,0,-1)+1</f>
        <v>3</v>
      </c>
      <c r="AI42" s="4044">
        <f ca="1">OFFSET(AI42,0,-1)+1</f>
        <v>4</v>
      </c>
      <c r="AJ42" s="4044"/>
      <c r="AK42" s="1259">
        <f ca="1">OFFSET(AK42,0,-2)+1</f>
        <v>5</v>
      </c>
      <c r="AL42" s="1169">
        <f ca="1">OFFSET(AL42,0,-1)</f>
        <v>5</v>
      </c>
      <c r="AM42" s="1259">
        <f ca="1">OFFSET(AM42,0,-1)+1</f>
        <v>6</v>
      </c>
      <c r="AN42" s="445"/>
      <c r="AO42" s="445"/>
      <c r="AP42" s="445"/>
      <c r="AQ42" s="445"/>
      <c r="AR42" s="445"/>
      <c r="AS42" s="430">
        <v>0</v>
      </c>
    </row>
    <row r="43" spans="1:45" ht="21.95" customHeight="1">
      <c r="A43" s="1287" t="s">
        <v>390</v>
      </c>
      <c r="B43" s="1287"/>
      <c r="C43" s="1287"/>
      <c r="D43" s="1287"/>
      <c r="E43" s="4033">
        <v>1</v>
      </c>
      <c r="F43" s="1287"/>
      <c r="G43" s="1287"/>
      <c r="H43" s="1287"/>
      <c r="I43" s="1287"/>
      <c r="J43" s="1287"/>
      <c r="K43" s="1287"/>
      <c r="L43" s="1288"/>
      <c r="M43" s="1289"/>
      <c r="N43" s="1289"/>
      <c r="O43" s="1289"/>
      <c r="P43" s="295"/>
      <c r="Q43" s="294"/>
      <c r="R43" s="289"/>
      <c r="S43" s="1260">
        <f>INDEX(PT_DIFFERENTIATION_NUM_NTAR,MATCH(A43,PT_DIFFERENTIATION_NTAR_ID,0))</f>
        <v>0</v>
      </c>
      <c r="T43" s="233" t="s">
        <v>195</v>
      </c>
      <c r="U43" s="235"/>
      <c r="V43" s="4027"/>
      <c r="W43" s="4028"/>
      <c r="X43" s="4028"/>
      <c r="Y43" s="4028"/>
      <c r="Z43" s="4028"/>
      <c r="AA43" s="4028"/>
      <c r="AB43" s="4028"/>
      <c r="AC43" s="4029"/>
      <c r="AD43" s="4027" t="str">
        <f>INDEX(PT_DIFFERENTIATION_NTAR,MATCH(A43,PT_DIFFERENTIATION_NTAR_ID,0))</f>
        <v/>
      </c>
      <c r="AE43" s="4028"/>
      <c r="AF43" s="4028"/>
      <c r="AG43" s="4028"/>
      <c r="AH43" s="4028"/>
      <c r="AI43" s="4028"/>
      <c r="AJ43" s="4028"/>
      <c r="AK43" s="4028"/>
      <c r="AL43" s="4029"/>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9">
        <v>21</v>
      </c>
    </row>
    <row r="44" spans="1:45" ht="21.95" customHeight="1">
      <c r="A44" s="1287" t="s">
        <v>390</v>
      </c>
      <c r="B44" s="1287" t="s">
        <v>391</v>
      </c>
      <c r="C44" s="1287"/>
      <c r="D44" s="1287"/>
      <c r="E44" s="4034"/>
      <c r="F44" s="4033">
        <v>1</v>
      </c>
      <c r="G44" s="1287"/>
      <c r="H44" s="1287"/>
      <c r="I44" s="1287"/>
      <c r="J44" s="1287"/>
      <c r="K44" s="1287"/>
      <c r="L44" s="1288"/>
      <c r="M44" s="1289"/>
      <c r="N44" s="1289"/>
      <c r="O44" s="1289"/>
      <c r="P44" s="1256"/>
      <c r="Q44" s="286"/>
      <c r="R44" s="287"/>
      <c r="S44" s="1260" t="str">
        <f>INDEX(PT_DIFFERENTIATION_NUM_TER,MATCH(B44,PT_DIFFERENTIATION_TER_ID,0))</f>
        <v>.</v>
      </c>
      <c r="T44" s="243" t="s">
        <v>605</v>
      </c>
      <c r="U44" s="235"/>
      <c r="V44" s="4027"/>
      <c r="W44" s="4028"/>
      <c r="X44" s="4028"/>
      <c r="Y44" s="4028"/>
      <c r="Z44" s="4028"/>
      <c r="AA44" s="4028"/>
      <c r="AB44" s="4028"/>
      <c r="AC44" s="4029"/>
      <c r="AD44" s="4027" t="str">
        <f>INDEX(PT_DIFFERENTIATION_TER,MATCH(B44,PT_DIFFERENTIATION_TER_ID,0))</f>
        <v/>
      </c>
      <c r="AE44" s="4028"/>
      <c r="AF44" s="4028"/>
      <c r="AG44" s="4028"/>
      <c r="AH44" s="4028"/>
      <c r="AI44" s="4028"/>
      <c r="AJ44" s="4028"/>
      <c r="AK44" s="4028"/>
      <c r="AL44" s="4029"/>
      <c r="AM44" s="1182" t="s">
        <v>606</v>
      </c>
      <c r="AO44" s="434"/>
      <c r="AP44" s="434" t="str">
        <f t="shared" si="1"/>
        <v>Территория действия тарифа</v>
      </c>
      <c r="AQ44" s="434"/>
      <c r="AR44" s="434"/>
      <c r="AS44" s="1079">
        <v>21</v>
      </c>
    </row>
    <row r="45" spans="1:45" ht="24" customHeight="1">
      <c r="A45" s="1287" t="s">
        <v>390</v>
      </c>
      <c r="B45" s="1287" t="s">
        <v>391</v>
      </c>
      <c r="C45" s="1287" t="s">
        <v>392</v>
      </c>
      <c r="D45" s="1287"/>
      <c r="E45" s="4034"/>
      <c r="F45" s="4034"/>
      <c r="G45" s="4033">
        <v>1</v>
      </c>
      <c r="H45" s="1287"/>
      <c r="I45" s="1287"/>
      <c r="J45" s="1287"/>
      <c r="K45" s="1287"/>
      <c r="L45" s="1288"/>
      <c r="M45" s="1289"/>
      <c r="N45" s="1289"/>
      <c r="O45" s="1289"/>
      <c r="P45" s="288"/>
      <c r="Q45" s="286"/>
      <c r="R45" s="287"/>
      <c r="S45" s="1260" t="str">
        <f>INDEX(PT_DIFFERENTIATION_NUM_CS,MATCH(C45,PT_DIFFERENTIATION_CS_ID,0))</f>
        <v>..</v>
      </c>
      <c r="T45" s="244" t="s">
        <v>607</v>
      </c>
      <c r="U45" s="235"/>
      <c r="V45" s="4027"/>
      <c r="W45" s="4028"/>
      <c r="X45" s="4028"/>
      <c r="Y45" s="4028"/>
      <c r="Z45" s="4028"/>
      <c r="AA45" s="4028"/>
      <c r="AB45" s="4028"/>
      <c r="AC45" s="4029"/>
      <c r="AD45" s="4027" t="str">
        <f>INDEX(PT_DIFFERENTIATION_CS,MATCH(C45,PT_DIFFERENTIATION_CS_ID,0))</f>
        <v/>
      </c>
      <c r="AE45" s="4028"/>
      <c r="AF45" s="4028"/>
      <c r="AG45" s="4028"/>
      <c r="AH45" s="4028"/>
      <c r="AI45" s="4028"/>
      <c r="AJ45" s="4028"/>
      <c r="AK45" s="4028"/>
      <c r="AL45" s="4029"/>
      <c r="AM45" s="1182" t="s">
        <v>608</v>
      </c>
      <c r="AO45" s="434"/>
      <c r="AP45" s="434" t="str">
        <f t="shared" si="1"/>
        <v xml:space="preserve">Наименование системы теплоснабжения </v>
      </c>
      <c r="AQ45" s="434"/>
      <c r="AR45" s="434"/>
      <c r="AS45" s="1079">
        <v>23</v>
      </c>
    </row>
    <row r="46" spans="1:45" ht="21.95" customHeight="1">
      <c r="A46" s="1287" t="s">
        <v>390</v>
      </c>
      <c r="B46" s="1287" t="s">
        <v>391</v>
      </c>
      <c r="C46" s="1287" t="s">
        <v>392</v>
      </c>
      <c r="D46" s="1287" t="s">
        <v>393</v>
      </c>
      <c r="E46" s="4034"/>
      <c r="F46" s="4034"/>
      <c r="G46" s="4034"/>
      <c r="H46" s="4033">
        <v>1</v>
      </c>
      <c r="I46" s="1287"/>
      <c r="J46" s="1287"/>
      <c r="K46" s="1287"/>
      <c r="L46" s="1288"/>
      <c r="M46" s="1289"/>
      <c r="N46" s="1289"/>
      <c r="O46" s="1289"/>
      <c r="P46" s="288"/>
      <c r="Q46" s="286"/>
      <c r="R46" s="287"/>
      <c r="S46" s="1260" t="str">
        <f>INDEX(PT_DIFFERENTIATION_NUM_IST_TE,MATCH(D46,PT_DIFFERENTIATION_IST_TE_ID,0))</f>
        <v>...</v>
      </c>
      <c r="T46" s="245" t="s">
        <v>609</v>
      </c>
      <c r="U46" s="235"/>
      <c r="V46" s="4027"/>
      <c r="W46" s="4028"/>
      <c r="X46" s="4028"/>
      <c r="Y46" s="4028"/>
      <c r="Z46" s="4028"/>
      <c r="AA46" s="4028"/>
      <c r="AB46" s="4028"/>
      <c r="AC46" s="4029"/>
      <c r="AD46" s="4027" t="str">
        <f>INDEX(PT_DIFFERENTIATION_IST_TE,MATCH(D46,PT_DIFFERENTIATION_IST_TE_ID,0))</f>
        <v/>
      </c>
      <c r="AE46" s="4028"/>
      <c r="AF46" s="4028"/>
      <c r="AG46" s="4028"/>
      <c r="AH46" s="4028"/>
      <c r="AI46" s="4028"/>
      <c r="AJ46" s="4028"/>
      <c r="AK46" s="4028"/>
      <c r="AL46" s="4029"/>
      <c r="AM46" s="1182" t="s">
        <v>610</v>
      </c>
      <c r="AO46" s="434"/>
      <c r="AP46" s="434" t="str">
        <f t="shared" si="1"/>
        <v xml:space="preserve">Источник тепловой энергии  </v>
      </c>
      <c r="AQ46" s="434"/>
      <c r="AR46" s="434"/>
      <c r="AS46" s="1079">
        <v>21</v>
      </c>
    </row>
    <row r="47" spans="1:45" s="1566" customFormat="1" ht="0" hidden="1" customHeight="1">
      <c r="A47" s="1267" t="s">
        <v>390</v>
      </c>
      <c r="B47" s="1267" t="s">
        <v>391</v>
      </c>
      <c r="C47" s="1267" t="s">
        <v>392</v>
      </c>
      <c r="D47" s="1267" t="s">
        <v>393</v>
      </c>
      <c r="E47" s="4034"/>
      <c r="F47" s="4034"/>
      <c r="G47" s="4034"/>
      <c r="H47" s="4034"/>
      <c r="I47" s="4035" t="str">
        <f>S46&amp;".1"</f>
        <v>....1</v>
      </c>
      <c r="J47" s="1267"/>
      <c r="K47" s="1267"/>
      <c r="L47" s="1270" t="s">
        <v>611</v>
      </c>
      <c r="M47" s="444"/>
      <c r="N47" s="444"/>
      <c r="O47" s="444"/>
      <c r="P47" s="4037">
        <v>1</v>
      </c>
      <c r="Q47" s="1255"/>
      <c r="R47" s="290"/>
      <c r="S47" s="969"/>
      <c r="T47" s="1307"/>
      <c r="U47" s="1308"/>
      <c r="V47" s="4064"/>
      <c r="W47" s="4065"/>
      <c r="X47" s="4065"/>
      <c r="Y47" s="4065"/>
      <c r="Z47" s="4065"/>
      <c r="AA47" s="4065"/>
      <c r="AB47" s="4065"/>
      <c r="AC47" s="4066"/>
      <c r="AD47" s="4064"/>
      <c r="AE47" s="4065"/>
      <c r="AF47" s="4065"/>
      <c r="AG47" s="4065"/>
      <c r="AH47" s="4065"/>
      <c r="AI47" s="4065"/>
      <c r="AJ47" s="4065"/>
      <c r="AK47" s="4065"/>
      <c r="AL47" s="4066"/>
      <c r="AM47" s="1309"/>
      <c r="AO47" s="434"/>
      <c r="AP47" s="434" t="str">
        <f t="shared" si="1"/>
        <v/>
      </c>
      <c r="AQ47" s="434"/>
      <c r="AR47" s="434"/>
      <c r="AS47" s="445">
        <v>0</v>
      </c>
    </row>
    <row r="48" spans="1:45" ht="21.95" customHeight="1">
      <c r="A48" s="1287" t="s">
        <v>390</v>
      </c>
      <c r="B48" s="1287" t="s">
        <v>391</v>
      </c>
      <c r="C48" s="1287" t="s">
        <v>392</v>
      </c>
      <c r="D48" s="1287" t="s">
        <v>393</v>
      </c>
      <c r="E48" s="4034"/>
      <c r="F48" s="4034"/>
      <c r="G48" s="4034"/>
      <c r="H48" s="4034"/>
      <c r="I48" s="4036"/>
      <c r="J48" s="4035" t="str">
        <f>S46&amp;".1"</f>
        <v>....1</v>
      </c>
      <c r="K48" s="1287"/>
      <c r="L48" s="1288" t="s">
        <v>614</v>
      </c>
      <c r="P48" s="4037"/>
      <c r="Q48" s="4037">
        <v>1</v>
      </c>
      <c r="R48" s="291"/>
      <c r="S48" s="1260" t="str">
        <f>$J48</f>
        <v>....1</v>
      </c>
      <c r="T48" s="221" t="s">
        <v>615</v>
      </c>
      <c r="U48" s="235"/>
      <c r="V48" s="4021"/>
      <c r="W48" s="4022"/>
      <c r="X48" s="4022"/>
      <c r="Y48" s="4022"/>
      <c r="Z48" s="4022"/>
      <c r="AA48" s="4022"/>
      <c r="AB48" s="4022"/>
      <c r="AC48" s="4023"/>
      <c r="AD48" s="4021"/>
      <c r="AE48" s="4022"/>
      <c r="AF48" s="4022"/>
      <c r="AG48" s="4022"/>
      <c r="AH48" s="4022"/>
      <c r="AI48" s="4022"/>
      <c r="AJ48" s="4022"/>
      <c r="AK48" s="4022"/>
      <c r="AL48" s="4023"/>
      <c r="AM48" s="1182" t="s">
        <v>616</v>
      </c>
      <c r="AO48" s="434"/>
      <c r="AP48" s="434" t="str">
        <f t="shared" si="1"/>
        <v>Группа потребителей</v>
      </c>
      <c r="AQ48" s="434"/>
      <c r="AR48" s="434"/>
      <c r="AS48" s="1079">
        <v>21</v>
      </c>
    </row>
    <row r="49" spans="1:45" ht="21.95" customHeight="1">
      <c r="A49" s="1287" t="s">
        <v>390</v>
      </c>
      <c r="B49" s="1287" t="s">
        <v>391</v>
      </c>
      <c r="C49" s="1287" t="s">
        <v>392</v>
      </c>
      <c r="D49" s="1287" t="s">
        <v>393</v>
      </c>
      <c r="E49" s="4034"/>
      <c r="F49" s="4034"/>
      <c r="G49" s="4034"/>
      <c r="H49" s="4034"/>
      <c r="I49" s="4036"/>
      <c r="J49" s="4036"/>
      <c r="K49" s="4035" t="str">
        <f>J48&amp;".1"</f>
        <v>....1.1</v>
      </c>
      <c r="L49" s="1288" t="s">
        <v>617</v>
      </c>
      <c r="P49" s="4037"/>
      <c r="Q49" s="4037"/>
      <c r="R49" s="291">
        <v>1</v>
      </c>
      <c r="S49" s="1260" t="str">
        <f>$K49</f>
        <v>....1.1</v>
      </c>
      <c r="T49" s="1271"/>
      <c r="U49" s="235"/>
      <c r="V49" s="685"/>
      <c r="W49" s="260"/>
      <c r="X49" s="685"/>
      <c r="Y49" s="1181"/>
      <c r="Z49" s="4038"/>
      <c r="AA49" s="3899" t="s">
        <v>53</v>
      </c>
      <c r="AB49" s="4038"/>
      <c r="AC49" s="3899" t="s">
        <v>53</v>
      </c>
      <c r="AD49" s="685"/>
      <c r="AE49" s="260"/>
      <c r="AF49" s="685"/>
      <c r="AG49" s="1181"/>
      <c r="AH49" s="4038"/>
      <c r="AI49" s="3899" t="s">
        <v>53</v>
      </c>
      <c r="AJ49" s="4040"/>
      <c r="AK49" s="3899" t="s">
        <v>53</v>
      </c>
      <c r="AL49" s="1272"/>
      <c r="AM49" s="4056" t="s">
        <v>657</v>
      </c>
      <c r="AN49" s="445" t="e">
        <f ca="1">STRCHECKDATE(V50:AL50)</f>
        <v>#NAME?</v>
      </c>
      <c r="AO49" s="434"/>
      <c r="AP49" s="434" t="str">
        <f t="shared" si="1"/>
        <v/>
      </c>
      <c r="AQ49" s="434"/>
      <c r="AR49" s="434"/>
      <c r="AS49" s="1079">
        <v>21</v>
      </c>
    </row>
    <row r="50" spans="1:45" ht="1.1499999999999999" customHeight="1">
      <c r="A50" s="1287" t="s">
        <v>390</v>
      </c>
      <c r="B50" s="1287" t="s">
        <v>391</v>
      </c>
      <c r="C50" s="1287" t="s">
        <v>392</v>
      </c>
      <c r="D50" s="1287" t="s">
        <v>393</v>
      </c>
      <c r="E50" s="4034"/>
      <c r="F50" s="4034"/>
      <c r="G50" s="4034"/>
      <c r="H50" s="4034"/>
      <c r="I50" s="4036"/>
      <c r="J50" s="4036"/>
      <c r="K50" s="4035"/>
      <c r="L50" s="1288"/>
      <c r="P50" s="4037"/>
      <c r="Q50" s="4037"/>
      <c r="R50" s="291"/>
      <c r="S50" s="1266"/>
      <c r="T50" s="235"/>
      <c r="U50" s="235"/>
      <c r="V50" s="260"/>
      <c r="W50" s="260"/>
      <c r="X50" s="260"/>
      <c r="Y50" s="263" t="str">
        <f>Z49&amp;"-"&amp;AB49</f>
        <v>-</v>
      </c>
      <c r="Z50" s="4039"/>
      <c r="AA50" s="3899"/>
      <c r="AB50" s="4039"/>
      <c r="AC50" s="3899"/>
      <c r="AD50" s="260"/>
      <c r="AE50" s="260"/>
      <c r="AF50" s="260"/>
      <c r="AG50" s="263" t="str">
        <f>AH49&amp;"-"&amp;AJ49</f>
        <v>-</v>
      </c>
      <c r="AH50" s="4039"/>
      <c r="AI50" s="3899"/>
      <c r="AJ50" s="4041"/>
      <c r="AK50" s="3899"/>
      <c r="AL50" s="1273"/>
      <c r="AM50" s="4057"/>
      <c r="AO50" s="434"/>
      <c r="AP50" s="434" t="str">
        <f t="shared" si="1"/>
        <v/>
      </c>
      <c r="AQ50" s="434"/>
      <c r="AR50" s="434"/>
      <c r="AS50" s="1079">
        <v>1</v>
      </c>
    </row>
    <row r="51" spans="1:45" ht="11.45" customHeight="1">
      <c r="A51" s="1287" t="s">
        <v>390</v>
      </c>
      <c r="B51" s="1287" t="s">
        <v>391</v>
      </c>
      <c r="C51" s="1287" t="s">
        <v>392</v>
      </c>
      <c r="D51" s="1287" t="s">
        <v>393</v>
      </c>
      <c r="E51" s="4034"/>
      <c r="F51" s="4034"/>
      <c r="G51" s="4034"/>
      <c r="H51" s="4034"/>
      <c r="I51" s="4036"/>
      <c r="J51" s="4035"/>
      <c r="K51" s="1287"/>
      <c r="L51" s="1288"/>
      <c r="P51" s="4037"/>
      <c r="Q51" s="4037"/>
      <c r="R51" s="290"/>
      <c r="S51" s="1202"/>
      <c r="T51" s="222" t="s">
        <v>619</v>
      </c>
      <c r="U51" s="301"/>
      <c r="V51" s="301"/>
      <c r="W51" s="301"/>
      <c r="X51" s="301"/>
      <c r="Y51" s="301"/>
      <c r="Z51" s="301"/>
      <c r="AA51" s="301"/>
      <c r="AB51" s="301"/>
      <c r="AC51" s="301"/>
      <c r="AD51" s="301"/>
      <c r="AE51" s="301"/>
      <c r="AF51" s="301"/>
      <c r="AG51" s="301"/>
      <c r="AH51" s="301"/>
      <c r="AI51" s="301"/>
      <c r="AJ51" s="301"/>
      <c r="AK51" s="301"/>
      <c r="AL51" s="259"/>
      <c r="AM51" s="4058"/>
      <c r="AO51" s="434"/>
      <c r="AP51" s="434" t="str">
        <f t="shared" si="1"/>
        <v>Добавить вид теплоносителя (параметры теплоносителя)</v>
      </c>
      <c r="AQ51" s="434"/>
      <c r="AR51" s="434"/>
      <c r="AS51" s="1079">
        <v>11</v>
      </c>
    </row>
    <row r="52" spans="1:45" ht="11.45" customHeight="1">
      <c r="A52" s="1287" t="s">
        <v>390</v>
      </c>
      <c r="B52" s="1287" t="s">
        <v>391</v>
      </c>
      <c r="C52" s="1287" t="s">
        <v>392</v>
      </c>
      <c r="D52" s="1287" t="s">
        <v>393</v>
      </c>
      <c r="E52" s="4034"/>
      <c r="F52" s="4034"/>
      <c r="G52" s="4034"/>
      <c r="H52" s="4034"/>
      <c r="I52" s="4035"/>
      <c r="J52" s="1287"/>
      <c r="K52" s="1287"/>
      <c r="L52" s="1288"/>
      <c r="P52" s="4037"/>
      <c r="Q52" s="1255"/>
      <c r="R52" s="290"/>
      <c r="S52" s="1202"/>
      <c r="T52" s="299" t="s">
        <v>620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9">
        <v>11</v>
      </c>
    </row>
    <row r="53" spans="1:45" ht="0" hidden="1" customHeight="1">
      <c r="A53" s="1287" t="s">
        <v>390</v>
      </c>
      <c r="B53" s="1287" t="s">
        <v>391</v>
      </c>
      <c r="C53" s="1287" t="s">
        <v>392</v>
      </c>
      <c r="D53" s="1287" t="s">
        <v>393</v>
      </c>
      <c r="E53" s="4034"/>
      <c r="F53" s="4034"/>
      <c r="G53" s="4034"/>
      <c r="H53" s="4033"/>
      <c r="I53" s="1287"/>
      <c r="J53" s="1287"/>
      <c r="K53" s="1287"/>
      <c r="L53" s="1288"/>
      <c r="M53" s="1289"/>
      <c r="N53" s="1289"/>
      <c r="O53" s="471"/>
      <c r="P53" s="294"/>
      <c r="Q53" s="309"/>
      <c r="R53" s="289"/>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4"/>
      <c r="AP53" s="434" t="str">
        <f t="shared" si="1"/>
        <v/>
      </c>
      <c r="AQ53" s="434"/>
      <c r="AR53" s="434"/>
      <c r="AS53" s="1079">
        <v>0</v>
      </c>
    </row>
    <row r="54" spans="1:45" s="1566" customFormat="1" ht="1.1499999999999999" customHeight="1">
      <c r="A54" s="1267" t="s">
        <v>390</v>
      </c>
      <c r="B54" s="1267" t="s">
        <v>391</v>
      </c>
      <c r="C54" s="1267" t="s">
        <v>392</v>
      </c>
      <c r="D54" s="1238"/>
      <c r="E54" s="4034"/>
      <c r="F54" s="4034"/>
      <c r="G54" s="4033"/>
      <c r="H54" s="1238"/>
      <c r="I54" s="1238"/>
      <c r="J54" s="1238"/>
      <c r="K54" s="1238"/>
      <c r="L54" s="1263"/>
      <c r="M54" s="1239"/>
      <c r="N54" s="1239"/>
      <c r="P54" s="1240"/>
      <c r="Q54" s="1241"/>
      <c r="R54" s="1240"/>
      <c r="S54" s="1246"/>
      <c r="T54" s="1249" t="s">
        <v>235</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2">
        <v>1</v>
      </c>
    </row>
    <row r="55" spans="1:45" s="1566" customFormat="1" ht="1.1499999999999999" customHeight="1">
      <c r="A55" s="1267" t="s">
        <v>390</v>
      </c>
      <c r="B55" s="1267" t="s">
        <v>391</v>
      </c>
      <c r="C55" s="1238"/>
      <c r="D55" s="1238"/>
      <c r="E55" s="4034"/>
      <c r="F55" s="4033"/>
      <c r="G55" s="1238"/>
      <c r="H55" s="1238"/>
      <c r="I55" s="1238"/>
      <c r="J55" s="1238"/>
      <c r="K55" s="1238"/>
      <c r="L55" s="1263"/>
      <c r="M55" s="1245"/>
      <c r="N55" s="1245"/>
      <c r="P55" s="1240"/>
      <c r="Q55" s="1241"/>
      <c r="R55" s="1240"/>
      <c r="S55" s="1246"/>
      <c r="T55" s="1249" t="s">
        <v>236</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2">
        <v>1</v>
      </c>
    </row>
    <row r="56" spans="1:45" s="1566" customFormat="1" ht="1.1499999999999999" customHeight="1">
      <c r="A56" s="1267" t="s">
        <v>390</v>
      </c>
      <c r="B56" s="1267"/>
      <c r="C56" s="1267"/>
      <c r="D56" s="1267"/>
      <c r="E56" s="4033"/>
      <c r="F56" s="1267"/>
      <c r="G56" s="1267"/>
      <c r="H56" s="1267"/>
      <c r="I56" s="1267"/>
      <c r="J56" s="1267"/>
      <c r="K56" s="1267"/>
      <c r="L56" s="1270"/>
      <c r="M56" s="1245"/>
      <c r="N56" s="1245"/>
      <c r="O56" s="452"/>
      <c r="P56" s="314"/>
      <c r="Q56" s="1268"/>
      <c r="R56" s="314"/>
      <c r="S56" s="1246"/>
      <c r="T56" s="1249" t="s">
        <v>286</v>
      </c>
      <c r="U56" s="1248"/>
      <c r="V56" s="1248"/>
      <c r="W56" s="1248"/>
      <c r="X56" s="1248"/>
      <c r="Y56" s="1248"/>
      <c r="Z56" s="1248"/>
      <c r="AA56" s="1248"/>
      <c r="AB56" s="1248"/>
      <c r="AC56" s="1248"/>
      <c r="AD56" s="1248"/>
      <c r="AE56" s="1248"/>
      <c r="AF56" s="1248"/>
      <c r="AG56" s="1248"/>
      <c r="AH56" s="1248"/>
      <c r="AI56" s="1248"/>
      <c r="AJ56" s="1248"/>
      <c r="AK56" s="1248"/>
      <c r="AL56" s="1248"/>
      <c r="AM56" s="1248"/>
      <c r="AO56" s="434"/>
      <c r="AP56" s="434" t="str">
        <f t="shared" si="1"/>
        <v>Добавить территорию для дифференциации</v>
      </c>
      <c r="AQ56" s="434"/>
      <c r="AR56" s="434"/>
      <c r="AS56" s="445">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287</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2">
        <v>1</v>
      </c>
    </row>
    <row r="58" spans="1:45" ht="11.45" customHeight="1">
      <c r="M58" s="1084"/>
      <c r="N58" s="1084"/>
      <c r="O58" s="471"/>
      <c r="P58" s="1079"/>
      <c r="Q58" s="1079"/>
      <c r="R58" s="1079"/>
      <c r="S58" s="1079"/>
      <c r="AN58" s="1079"/>
      <c r="AO58" s="1079"/>
      <c r="AP58" s="1079"/>
      <c r="AQ58" s="1079"/>
      <c r="AR58" s="1079"/>
      <c r="AS58" s="1079">
        <v>11</v>
      </c>
    </row>
    <row r="59" spans="1:45" ht="23.25" customHeight="1">
      <c r="O59" s="471"/>
      <c r="S59" s="1177"/>
      <c r="T59" s="4032"/>
      <c r="U59" s="4032"/>
      <c r="V59" s="4032"/>
      <c r="W59" s="4032"/>
      <c r="X59" s="4032"/>
      <c r="Y59" s="4032"/>
      <c r="Z59" s="4032"/>
      <c r="AA59" s="4032"/>
      <c r="AB59" s="4032"/>
      <c r="AC59" s="4032"/>
      <c r="AD59" s="4032"/>
      <c r="AE59" s="4032"/>
      <c r="AF59" s="4032"/>
      <c r="AG59" s="4032"/>
      <c r="AH59" s="4032"/>
      <c r="AI59" s="4032"/>
      <c r="AJ59" s="4032"/>
      <c r="AK59" s="4032"/>
      <c r="AL59" s="4032"/>
      <c r="AM59" s="4032"/>
      <c r="AS59" s="1079">
        <v>22</v>
      </c>
    </row>
    <row r="60" spans="1:45" ht="30.4" customHeight="1">
      <c r="O60" s="471"/>
      <c r="T60" s="4032"/>
      <c r="U60" s="4032"/>
      <c r="V60" s="4032"/>
      <c r="W60" s="4032"/>
      <c r="X60" s="4032"/>
      <c r="Y60" s="4032"/>
      <c r="Z60" s="4032"/>
      <c r="AA60" s="4032"/>
      <c r="AB60" s="4032"/>
      <c r="AC60" s="4032"/>
      <c r="AD60" s="4032"/>
      <c r="AE60" s="4032"/>
      <c r="AF60" s="4032"/>
      <c r="AG60" s="4032"/>
      <c r="AH60" s="4032"/>
      <c r="AI60" s="4032"/>
      <c r="AJ60" s="4032"/>
      <c r="AK60" s="4032"/>
      <c r="AL60" s="4032"/>
      <c r="AM60" s="4032"/>
      <c r="AS60" s="1079">
        <v>29</v>
      </c>
    </row>
    <row r="61" spans="1:45" ht="42" customHeight="1">
      <c r="O61" s="471"/>
      <c r="T61" s="4032"/>
      <c r="U61" s="4032"/>
      <c r="V61" s="4032"/>
      <c r="W61" s="4032"/>
      <c r="X61" s="4032"/>
      <c r="Y61" s="4032"/>
      <c r="Z61" s="4032"/>
      <c r="AA61" s="4032"/>
      <c r="AB61" s="4032"/>
      <c r="AC61" s="4032"/>
      <c r="AD61" s="4032"/>
      <c r="AE61" s="4032"/>
      <c r="AF61" s="4032"/>
      <c r="AG61" s="4032"/>
      <c r="AH61" s="4032"/>
      <c r="AI61" s="4032"/>
      <c r="AJ61" s="4032"/>
      <c r="AK61" s="4032"/>
      <c r="AL61" s="4032"/>
      <c r="AM61" s="4032"/>
      <c r="AS61" s="1079">
        <v>40</v>
      </c>
    </row>
    <row r="62" spans="1:45" ht="14.65" customHeight="1">
      <c r="O62" s="471"/>
      <c r="AS62" s="1079">
        <v>14</v>
      </c>
    </row>
    <row r="63" spans="1:45" ht="21" customHeight="1">
      <c r="O63" s="471"/>
      <c r="S63" s="1177"/>
      <c r="T63" s="3929"/>
      <c r="U63" s="4032"/>
      <c r="V63" s="4032"/>
      <c r="W63" s="4032"/>
      <c r="X63" s="4032"/>
      <c r="Y63" s="4032"/>
      <c r="Z63" s="4032"/>
      <c r="AA63" s="4032"/>
      <c r="AB63" s="4032"/>
      <c r="AC63" s="4032"/>
      <c r="AD63" s="4032"/>
      <c r="AE63" s="4032"/>
      <c r="AF63" s="4032"/>
      <c r="AG63" s="4032"/>
      <c r="AH63" s="4032"/>
      <c r="AI63" s="4032"/>
      <c r="AJ63" s="4032"/>
      <c r="AK63" s="4032"/>
      <c r="AL63" s="4032"/>
      <c r="AM63" s="4032"/>
      <c r="AS63" s="1079">
        <v>20</v>
      </c>
    </row>
    <row r="64" spans="1:45" ht="29.25" customHeight="1">
      <c r="O64" s="471"/>
      <c r="T64" s="4032"/>
      <c r="U64" s="4032"/>
      <c r="V64" s="4032"/>
      <c r="W64" s="4032"/>
      <c r="X64" s="4032"/>
      <c r="Y64" s="4032"/>
      <c r="Z64" s="4032"/>
      <c r="AA64" s="4032"/>
      <c r="AB64" s="4032"/>
      <c r="AC64" s="4032"/>
      <c r="AD64" s="4032"/>
      <c r="AE64" s="4032"/>
      <c r="AF64" s="4032"/>
      <c r="AG64" s="4032"/>
      <c r="AH64" s="4032"/>
      <c r="AI64" s="4032"/>
      <c r="AJ64" s="4032"/>
      <c r="AK64" s="4032"/>
      <c r="AL64" s="4032"/>
      <c r="AM64" s="4032"/>
      <c r="AS64" s="1079">
        <v>28</v>
      </c>
    </row>
    <row r="65" spans="1:45" ht="35.65" customHeight="1">
      <c r="T65" s="4032"/>
      <c r="U65" s="4032"/>
      <c r="V65" s="4032"/>
      <c r="W65" s="4032"/>
      <c r="X65" s="4032"/>
      <c r="Y65" s="4032"/>
      <c r="Z65" s="4032"/>
      <c r="AA65" s="4032"/>
      <c r="AB65" s="4032"/>
      <c r="AC65" s="4032"/>
      <c r="AD65" s="4032"/>
      <c r="AE65" s="4032"/>
      <c r="AF65" s="4032"/>
      <c r="AG65" s="4032"/>
      <c r="AH65" s="4032"/>
      <c r="AI65" s="4032"/>
      <c r="AJ65" s="4032"/>
      <c r="AK65" s="4032"/>
      <c r="AL65" s="4032"/>
      <c r="AM65" s="4032"/>
      <c r="AS65" s="1079">
        <v>34</v>
      </c>
    </row>
    <row r="66" spans="1:45" ht="22.5" hidden="1" customHeight="1">
      <c r="A66" s="1084" t="s">
        <v>69</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79">
        <v>3</v>
      </c>
      <c r="R66" s="279">
        <v>3</v>
      </c>
      <c r="S66" s="515">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5">
        <v>10</v>
      </c>
      <c r="AO66" s="445">
        <v>10</v>
      </c>
      <c r="AP66" s="445">
        <v>10</v>
      </c>
      <c r="AQ66" s="445">
        <v>10</v>
      </c>
      <c r="AR66" s="445">
        <v>10</v>
      </c>
      <c r="AS66" s="1079">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7109375" style="1975" hidden="1" customWidth="1"/>
    <col min="17" max="18" width="3" style="279" customWidth="1"/>
    <col min="19" max="19" width="12" style="197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2"/>
      <c r="Z1" s="262"/>
      <c r="AG1" s="262"/>
      <c r="AH1" s="262"/>
      <c r="AS1" s="1079" t="s">
        <v>1</v>
      </c>
    </row>
    <row r="2" spans="1:45" ht="21" hidden="1" customHeight="1">
      <c r="A2" s="1287"/>
      <c r="B2" s="1287"/>
      <c r="C2" s="1287"/>
      <c r="D2" s="1287"/>
      <c r="E2" s="4033">
        <v>1</v>
      </c>
      <c r="F2" s="1287"/>
      <c r="G2" s="1287"/>
      <c r="H2" s="1287"/>
      <c r="I2" s="1287"/>
      <c r="J2" s="1287"/>
      <c r="K2" s="1287"/>
      <c r="L2" s="1288"/>
      <c r="M2" s="1289"/>
      <c r="N2" s="1289"/>
      <c r="O2" s="1289"/>
      <c r="P2" s="295"/>
      <c r="Q2" s="294"/>
      <c r="R2" s="289"/>
      <c r="S2" s="1260" t="e">
        <f>INDEX(PT_DIFFERENTIATION_NUM_NTAR,MATCH(A2,PT_DIFFERENTIATION_NTAR_ID,0))</f>
        <v>#N/A</v>
      </c>
      <c r="T2" s="233" t="s">
        <v>195</v>
      </c>
      <c r="U2" s="235"/>
      <c r="V2" s="4027"/>
      <c r="W2" s="4028"/>
      <c r="X2" s="4028"/>
      <c r="Y2" s="4028"/>
      <c r="Z2" s="4028"/>
      <c r="AA2" s="4028"/>
      <c r="AB2" s="4028"/>
      <c r="AC2" s="4029"/>
      <c r="AD2" s="4027" t="e">
        <f>INDEX(PT_DIFFERENTIATION_NTAR,MATCH(A2,PT_DIFFERENTIATION_NTAR_ID,0))</f>
        <v>#N/A</v>
      </c>
      <c r="AE2" s="4028"/>
      <c r="AF2" s="4028"/>
      <c r="AG2" s="4028"/>
      <c r="AH2" s="4028"/>
      <c r="AI2" s="4028"/>
      <c r="AJ2" s="4028"/>
      <c r="AK2" s="4028"/>
      <c r="AL2" s="4029"/>
      <c r="AM2" s="1182" t="s">
        <v>604</v>
      </c>
      <c r="AO2" s="434"/>
      <c r="AP2" s="434" t="str">
        <f t="shared" ref="AP2:AP15" si="0">IF(T2="","",T2)</f>
        <v>Наименование тарифа</v>
      </c>
      <c r="AQ2" s="434"/>
      <c r="AR2" s="434"/>
      <c r="AS2" s="1079">
        <v>0</v>
      </c>
    </row>
    <row r="3" spans="1:45" ht="21" hidden="1" customHeight="1">
      <c r="A3" s="1287"/>
      <c r="B3" s="1287"/>
      <c r="C3" s="1287"/>
      <c r="D3" s="1287"/>
      <c r="E3" s="4034"/>
      <c r="F3" s="4033">
        <v>1</v>
      </c>
      <c r="G3" s="1287"/>
      <c r="H3" s="1287"/>
      <c r="I3" s="1287"/>
      <c r="J3" s="1287"/>
      <c r="K3" s="1287"/>
      <c r="L3" s="1288"/>
      <c r="M3" s="1289"/>
      <c r="N3" s="1289"/>
      <c r="O3" s="1289"/>
      <c r="P3" s="1256"/>
      <c r="Q3" s="286"/>
      <c r="R3" s="287"/>
      <c r="S3" s="1260" t="e">
        <f>INDEX(PT_DIFFERENTIATION_NUM_TER,MATCH(B3,PT_DIFFERENTIATION_TER_ID,0))</f>
        <v>#N/A</v>
      </c>
      <c r="T3" s="243" t="s">
        <v>605</v>
      </c>
      <c r="U3" s="235"/>
      <c r="V3" s="4027"/>
      <c r="W3" s="4028"/>
      <c r="X3" s="4028"/>
      <c r="Y3" s="4028"/>
      <c r="Z3" s="4028"/>
      <c r="AA3" s="4028"/>
      <c r="AB3" s="4028"/>
      <c r="AC3" s="4029"/>
      <c r="AD3" s="4027" t="e">
        <f>INDEX(PT_DIFFERENTIATION_TER,MATCH(B3,PT_DIFFERENTIATION_TER_ID,0))</f>
        <v>#N/A</v>
      </c>
      <c r="AE3" s="4028"/>
      <c r="AF3" s="4028"/>
      <c r="AG3" s="4028"/>
      <c r="AH3" s="4028"/>
      <c r="AI3" s="4028"/>
      <c r="AJ3" s="4028"/>
      <c r="AK3" s="4028"/>
      <c r="AL3" s="4029"/>
      <c r="AM3" s="1182" t="s">
        <v>606</v>
      </c>
      <c r="AO3" s="434"/>
      <c r="AP3" s="434" t="str">
        <f t="shared" si="0"/>
        <v>Территория действия тарифа</v>
      </c>
      <c r="AQ3" s="434"/>
      <c r="AR3" s="434"/>
      <c r="AS3" s="1079">
        <v>0</v>
      </c>
    </row>
    <row r="4" spans="1:45" ht="23.25" hidden="1" customHeight="1">
      <c r="A4" s="1287"/>
      <c r="B4" s="1287"/>
      <c r="C4" s="1287"/>
      <c r="D4" s="1287"/>
      <c r="E4" s="4034"/>
      <c r="F4" s="4034"/>
      <c r="G4" s="4033">
        <v>1</v>
      </c>
      <c r="H4" s="1287"/>
      <c r="I4" s="1287"/>
      <c r="J4" s="1287"/>
      <c r="K4" s="1287"/>
      <c r="L4" s="1288"/>
      <c r="M4" s="1289"/>
      <c r="N4" s="1289"/>
      <c r="O4" s="1289"/>
      <c r="P4" s="288"/>
      <c r="Q4" s="286"/>
      <c r="R4" s="287"/>
      <c r="S4" s="1260" t="e">
        <f>INDEX(PT_DIFFERENTIATION_NUM_CS,MATCH(C4,PT_DIFFERENTIATION_CS_ID,0))</f>
        <v>#N/A</v>
      </c>
      <c r="T4" s="244" t="s">
        <v>607</v>
      </c>
      <c r="U4" s="235"/>
      <c r="V4" s="4027"/>
      <c r="W4" s="4028"/>
      <c r="X4" s="4028"/>
      <c r="Y4" s="4028"/>
      <c r="Z4" s="4028"/>
      <c r="AA4" s="4028"/>
      <c r="AB4" s="4028"/>
      <c r="AC4" s="4029"/>
      <c r="AD4" s="4027" t="e">
        <f>INDEX(PT_DIFFERENTIATION_CS,MATCH(C4,PT_DIFFERENTIATION_CS_ID,0))</f>
        <v>#N/A</v>
      </c>
      <c r="AE4" s="4028"/>
      <c r="AF4" s="4028"/>
      <c r="AG4" s="4028"/>
      <c r="AH4" s="4028"/>
      <c r="AI4" s="4028"/>
      <c r="AJ4" s="4028"/>
      <c r="AK4" s="4028"/>
      <c r="AL4" s="4029"/>
      <c r="AM4" s="1182" t="s">
        <v>608</v>
      </c>
      <c r="AO4" s="434"/>
      <c r="AP4" s="434" t="str">
        <f t="shared" si="0"/>
        <v xml:space="preserve">Наименование системы теплоснабжения </v>
      </c>
      <c r="AQ4" s="434"/>
      <c r="AR4" s="434"/>
      <c r="AS4" s="1079">
        <v>0</v>
      </c>
    </row>
    <row r="5" spans="1:45" ht="21" hidden="1" customHeight="1">
      <c r="A5" s="1287"/>
      <c r="B5" s="1287"/>
      <c r="C5" s="1287"/>
      <c r="D5" s="1287"/>
      <c r="E5" s="4034"/>
      <c r="F5" s="4034"/>
      <c r="G5" s="4034"/>
      <c r="H5" s="4033">
        <v>1</v>
      </c>
      <c r="I5" s="1287"/>
      <c r="J5" s="1287"/>
      <c r="K5" s="1287"/>
      <c r="L5" s="1288"/>
      <c r="M5" s="1289"/>
      <c r="N5" s="1289"/>
      <c r="O5" s="1289"/>
      <c r="P5" s="288"/>
      <c r="Q5" s="286"/>
      <c r="R5" s="287"/>
      <c r="S5" s="1260" t="e">
        <f>INDEX(PT_DIFFERENTIATION_NUM_IST_TE,MATCH(D5,PT_DIFFERENTIATION_IST_TE_ID,0))</f>
        <v>#N/A</v>
      </c>
      <c r="T5" s="245" t="s">
        <v>609</v>
      </c>
      <c r="U5" s="235"/>
      <c r="V5" s="4027"/>
      <c r="W5" s="4028"/>
      <c r="X5" s="4028"/>
      <c r="Y5" s="4028"/>
      <c r="Z5" s="4028"/>
      <c r="AA5" s="4028"/>
      <c r="AB5" s="4028"/>
      <c r="AC5" s="4029"/>
      <c r="AD5" s="4027" t="e">
        <f>INDEX(PT_DIFFERENTIATION_IST_TE,MATCH(D5,PT_DIFFERENTIATION_IST_TE_ID,0))</f>
        <v>#N/A</v>
      </c>
      <c r="AE5" s="4028"/>
      <c r="AF5" s="4028"/>
      <c r="AG5" s="4028"/>
      <c r="AH5" s="4028"/>
      <c r="AI5" s="4028"/>
      <c r="AJ5" s="4028"/>
      <c r="AK5" s="4028"/>
      <c r="AL5" s="4029"/>
      <c r="AM5" s="1182" t="s">
        <v>610</v>
      </c>
      <c r="AO5" s="434"/>
      <c r="AP5" s="434" t="str">
        <f t="shared" si="0"/>
        <v xml:space="preserve">Источник тепловой энергии  </v>
      </c>
      <c r="AQ5" s="434"/>
      <c r="AR5" s="434"/>
      <c r="AS5" s="1079">
        <v>0</v>
      </c>
    </row>
    <row r="6" spans="1:45" ht="14.25" hidden="1" customHeight="1">
      <c r="A6" s="1287"/>
      <c r="B6" s="1287"/>
      <c r="C6" s="1287"/>
      <c r="D6" s="1287"/>
      <c r="E6" s="4034"/>
      <c r="F6" s="4034"/>
      <c r="G6" s="4034"/>
      <c r="H6" s="4034"/>
      <c r="I6" s="4035" t="e">
        <f>S5&amp;".1"</f>
        <v>#N/A</v>
      </c>
      <c r="J6" s="1287"/>
      <c r="K6" s="1287"/>
      <c r="L6" s="1288" t="s">
        <v>611</v>
      </c>
      <c r="M6" s="471"/>
      <c r="P6" s="4037">
        <v>1</v>
      </c>
      <c r="Q6" s="1255"/>
      <c r="R6" s="290"/>
      <c r="S6" s="969"/>
      <c r="T6" s="1307"/>
      <c r="U6" s="1308"/>
      <c r="V6" s="4064"/>
      <c r="W6" s="4065"/>
      <c r="X6" s="4065"/>
      <c r="Y6" s="4065"/>
      <c r="Z6" s="4065"/>
      <c r="AA6" s="4065"/>
      <c r="AB6" s="4065"/>
      <c r="AC6" s="4066"/>
      <c r="AD6" s="4064"/>
      <c r="AE6" s="4065"/>
      <c r="AF6" s="4065"/>
      <c r="AG6" s="4065"/>
      <c r="AH6" s="4065"/>
      <c r="AI6" s="4065"/>
      <c r="AJ6" s="4065"/>
      <c r="AK6" s="4065"/>
      <c r="AL6" s="4066"/>
      <c r="AM6" s="1309"/>
      <c r="AO6" s="434"/>
      <c r="AP6" s="434" t="str">
        <f t="shared" si="0"/>
        <v/>
      </c>
      <c r="AQ6" s="434"/>
      <c r="AR6" s="434"/>
      <c r="AS6" s="1079">
        <v>0</v>
      </c>
    </row>
    <row r="7" spans="1:45" ht="21" hidden="1" customHeight="1">
      <c r="A7" s="1287"/>
      <c r="B7" s="1287"/>
      <c r="C7" s="1287"/>
      <c r="D7" s="1287"/>
      <c r="E7" s="4034"/>
      <c r="F7" s="4034"/>
      <c r="G7" s="4034"/>
      <c r="H7" s="4034"/>
      <c r="I7" s="4036"/>
      <c r="J7" s="4035" t="e">
        <f>I6&amp;".1"</f>
        <v>#N/A</v>
      </c>
      <c r="K7" s="1287"/>
      <c r="L7" s="1288" t="s">
        <v>614</v>
      </c>
      <c r="M7" s="471"/>
      <c r="N7" s="1290"/>
      <c r="P7" s="4037"/>
      <c r="Q7" s="4037">
        <v>1</v>
      </c>
      <c r="R7" s="291"/>
      <c r="S7" s="1260" t="e">
        <f>$J7</f>
        <v>#N/A</v>
      </c>
      <c r="T7" s="221" t="s">
        <v>615</v>
      </c>
      <c r="U7" s="235"/>
      <c r="V7" s="4021"/>
      <c r="W7" s="4022"/>
      <c r="X7" s="4022"/>
      <c r="Y7" s="4022"/>
      <c r="Z7" s="4022"/>
      <c r="AA7" s="4022"/>
      <c r="AB7" s="4022"/>
      <c r="AC7" s="4023"/>
      <c r="AD7" s="4021"/>
      <c r="AE7" s="4022"/>
      <c r="AF7" s="4022"/>
      <c r="AG7" s="4022"/>
      <c r="AH7" s="4022"/>
      <c r="AI7" s="4022"/>
      <c r="AJ7" s="4022"/>
      <c r="AK7" s="4022"/>
      <c r="AL7" s="4023"/>
      <c r="AM7" s="1182" t="s">
        <v>616</v>
      </c>
      <c r="AO7" s="434"/>
      <c r="AP7" s="434" t="str">
        <f t="shared" si="0"/>
        <v>Группа потребителей</v>
      </c>
      <c r="AQ7" s="434"/>
      <c r="AR7" s="434"/>
      <c r="AS7" s="1079">
        <v>0</v>
      </c>
    </row>
    <row r="8" spans="1:45" ht="21" hidden="1" customHeight="1">
      <c r="A8" s="1287"/>
      <c r="B8" s="1287"/>
      <c r="C8" s="1287"/>
      <c r="D8" s="1287"/>
      <c r="E8" s="4034"/>
      <c r="F8" s="4034"/>
      <c r="G8" s="4034"/>
      <c r="H8" s="4034"/>
      <c r="I8" s="4036"/>
      <c r="J8" s="4036"/>
      <c r="K8" s="4035" t="e">
        <f>J7&amp;".1"</f>
        <v>#N/A</v>
      </c>
      <c r="L8" s="1288" t="s">
        <v>617</v>
      </c>
      <c r="M8" s="471"/>
      <c r="N8" s="1290"/>
      <c r="O8" s="1290"/>
      <c r="P8" s="4037"/>
      <c r="Q8" s="4037"/>
      <c r="R8" s="291">
        <v>1</v>
      </c>
      <c r="S8" s="1260" t="e">
        <f>$K8</f>
        <v>#N/A</v>
      </c>
      <c r="T8" s="1271"/>
      <c r="U8" s="235"/>
      <c r="V8" s="685"/>
      <c r="W8" s="260"/>
      <c r="X8" s="685"/>
      <c r="Y8" s="1181"/>
      <c r="Z8" s="4038"/>
      <c r="AA8" s="3899" t="s">
        <v>53</v>
      </c>
      <c r="AB8" s="4038"/>
      <c r="AC8" s="3899" t="s">
        <v>53</v>
      </c>
      <c r="AD8" s="685"/>
      <c r="AE8" s="260"/>
      <c r="AF8" s="685"/>
      <c r="AG8" s="1181"/>
      <c r="AH8" s="4038"/>
      <c r="AI8" s="3899" t="s">
        <v>53</v>
      </c>
      <c r="AJ8" s="4038"/>
      <c r="AK8" s="3899" t="s">
        <v>53</v>
      </c>
      <c r="AL8" s="260"/>
      <c r="AM8" s="4056" t="s">
        <v>618</v>
      </c>
      <c r="AN8" s="445" t="e">
        <f ca="1">STRCHECKDATE(V9:AL9)</f>
        <v>#NAME?</v>
      </c>
      <c r="AO8" s="434"/>
      <c r="AP8" s="434" t="str">
        <f t="shared" si="0"/>
        <v/>
      </c>
      <c r="AQ8" s="434"/>
      <c r="AR8" s="434"/>
      <c r="AS8" s="1079">
        <v>0</v>
      </c>
    </row>
    <row r="9" spans="1:45" ht="14.25" hidden="1" customHeight="1">
      <c r="A9" s="1287"/>
      <c r="B9" s="1287"/>
      <c r="C9" s="1287"/>
      <c r="D9" s="1287"/>
      <c r="E9" s="4034"/>
      <c r="F9" s="4034"/>
      <c r="G9" s="4034"/>
      <c r="H9" s="4034"/>
      <c r="I9" s="4036"/>
      <c r="J9" s="4036"/>
      <c r="K9" s="4035"/>
      <c r="L9" s="1288"/>
      <c r="M9" s="471"/>
      <c r="N9" s="1290"/>
      <c r="O9" s="1290"/>
      <c r="P9" s="4037"/>
      <c r="Q9" s="4037"/>
      <c r="R9" s="291"/>
      <c r="S9" s="1266"/>
      <c r="T9" s="235"/>
      <c r="U9" s="235"/>
      <c r="V9" s="260"/>
      <c r="W9" s="260"/>
      <c r="X9" s="260"/>
      <c r="Y9" s="263" t="str">
        <f>Z8&amp;"-"&amp;AB8</f>
        <v>-</v>
      </c>
      <c r="Z9" s="4039"/>
      <c r="AA9" s="3899"/>
      <c r="AB9" s="4039"/>
      <c r="AC9" s="3899"/>
      <c r="AD9" s="260"/>
      <c r="AE9" s="260"/>
      <c r="AF9" s="260"/>
      <c r="AG9" s="263" t="str">
        <f>AH8&amp;"-"&amp;AJ8</f>
        <v>-</v>
      </c>
      <c r="AH9" s="4039"/>
      <c r="AI9" s="3899"/>
      <c r="AJ9" s="4039"/>
      <c r="AK9" s="3899"/>
      <c r="AL9" s="260"/>
      <c r="AM9" s="4057"/>
      <c r="AO9" s="434"/>
      <c r="AP9" s="434" t="str">
        <f t="shared" si="0"/>
        <v/>
      </c>
      <c r="AQ9" s="434"/>
      <c r="AR9" s="434"/>
      <c r="AS9" s="1079">
        <v>0</v>
      </c>
    </row>
    <row r="10" spans="1:45" ht="15" hidden="1" customHeight="1">
      <c r="A10" s="1287"/>
      <c r="B10" s="1287"/>
      <c r="C10" s="1287"/>
      <c r="D10" s="1287"/>
      <c r="E10" s="4034"/>
      <c r="F10" s="4034"/>
      <c r="G10" s="4034"/>
      <c r="H10" s="4034"/>
      <c r="I10" s="4036"/>
      <c r="J10" s="4035"/>
      <c r="K10" s="1287"/>
      <c r="L10" s="1288"/>
      <c r="M10" s="471"/>
      <c r="N10" s="1290"/>
      <c r="P10" s="4037"/>
      <c r="Q10" s="4037"/>
      <c r="R10" s="290"/>
      <c r="S10" s="1202"/>
      <c r="T10" s="222" t="s">
        <v>619</v>
      </c>
      <c r="U10" s="301"/>
      <c r="V10" s="301"/>
      <c r="W10" s="301"/>
      <c r="X10" s="301"/>
      <c r="Y10" s="301"/>
      <c r="Z10" s="301"/>
      <c r="AA10" s="301"/>
      <c r="AB10" s="301"/>
      <c r="AC10" s="301"/>
      <c r="AD10" s="301"/>
      <c r="AE10" s="301"/>
      <c r="AF10" s="301"/>
      <c r="AG10" s="301"/>
      <c r="AH10" s="301"/>
      <c r="AI10" s="301"/>
      <c r="AJ10" s="301"/>
      <c r="AK10" s="301"/>
      <c r="AL10" s="259"/>
      <c r="AM10" s="4058"/>
      <c r="AO10" s="434"/>
      <c r="AP10" s="434" t="str">
        <f t="shared" si="0"/>
        <v>Добавить вид теплоносителя (параметры теплоносителя)</v>
      </c>
      <c r="AQ10" s="434"/>
      <c r="AR10" s="434"/>
      <c r="AS10" s="1079">
        <v>0</v>
      </c>
    </row>
    <row r="11" spans="1:45" ht="11.25" hidden="1" customHeight="1">
      <c r="A11" s="1287"/>
      <c r="B11" s="1287"/>
      <c r="C11" s="1287"/>
      <c r="D11" s="1287"/>
      <c r="E11" s="4034"/>
      <c r="F11" s="4034"/>
      <c r="G11" s="4034"/>
      <c r="H11" s="4034"/>
      <c r="I11" s="4035"/>
      <c r="J11" s="1287"/>
      <c r="K11" s="1287"/>
      <c r="L11" s="1288"/>
      <c r="M11" s="471"/>
      <c r="P11" s="4037"/>
      <c r="Q11" s="1255"/>
      <c r="R11" s="290"/>
      <c r="S11" s="1202"/>
      <c r="T11" s="299" t="s">
        <v>620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9">
        <v>0</v>
      </c>
    </row>
    <row r="12" spans="1:45" ht="14.25" hidden="1" customHeight="1">
      <c r="A12" s="1287"/>
      <c r="B12" s="1287"/>
      <c r="C12" s="1287"/>
      <c r="D12" s="1287"/>
      <c r="E12" s="4034"/>
      <c r="F12" s="4034"/>
      <c r="G12" s="4034"/>
      <c r="H12" s="4033"/>
      <c r="I12" s="1287"/>
      <c r="J12" s="1287"/>
      <c r="K12" s="1287"/>
      <c r="L12" s="1288"/>
      <c r="M12" s="1289"/>
      <c r="N12" s="1289"/>
      <c r="O12" s="471"/>
      <c r="P12" s="294"/>
      <c r="Q12" s="309"/>
      <c r="R12" s="289"/>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4"/>
      <c r="AP12" s="434" t="str">
        <f t="shared" si="0"/>
        <v/>
      </c>
      <c r="AQ12" s="434"/>
      <c r="AR12" s="434"/>
      <c r="AS12" s="1079">
        <v>0</v>
      </c>
    </row>
    <row r="13" spans="1:45" s="1566" customFormat="1" ht="14.25" hidden="1" customHeight="1">
      <c r="A13" s="1238"/>
      <c r="B13" s="1238"/>
      <c r="C13" s="1238"/>
      <c r="D13" s="1238"/>
      <c r="E13" s="4034"/>
      <c r="F13" s="4034"/>
      <c r="G13" s="4033"/>
      <c r="H13" s="1238"/>
      <c r="I13" s="1238"/>
      <c r="J13" s="1238"/>
      <c r="K13" s="1238"/>
      <c r="L13" s="1263"/>
      <c r="M13" s="1239"/>
      <c r="N13" s="1239"/>
      <c r="P13" s="1240"/>
      <c r="Q13" s="1241"/>
      <c r="R13" s="1240"/>
      <c r="S13" s="1242"/>
      <c r="T13" s="1243" t="s">
        <v>235</v>
      </c>
      <c r="U13" s="1244"/>
      <c r="V13" s="1244"/>
      <c r="W13" s="1244"/>
      <c r="X13" s="1244"/>
      <c r="Y13" s="1244"/>
      <c r="Z13" s="1244"/>
      <c r="AA13" s="1244"/>
      <c r="AB13" s="1244"/>
      <c r="AC13" s="1244"/>
      <c r="AD13" s="1244"/>
      <c r="AE13" s="1244"/>
      <c r="AF13" s="1244"/>
      <c r="AG13" s="1244"/>
      <c r="AH13" s="1244"/>
      <c r="AI13" s="1244"/>
      <c r="AJ13" s="1244"/>
      <c r="AK13" s="1244"/>
      <c r="AL13" s="1244"/>
      <c r="AM13" s="1244"/>
      <c r="AO13" s="717"/>
      <c r="AP13" s="717" t="str">
        <f t="shared" si="0"/>
        <v>Добавить источник для дифференциации</v>
      </c>
      <c r="AQ13" s="717"/>
      <c r="AR13" s="717"/>
      <c r="AS13" s="452">
        <v>0</v>
      </c>
    </row>
    <row r="14" spans="1:45" s="1566" customFormat="1" ht="14.25" hidden="1" customHeight="1">
      <c r="A14" s="1238"/>
      <c r="B14" s="1238"/>
      <c r="C14" s="1238"/>
      <c r="D14" s="1238"/>
      <c r="E14" s="4034"/>
      <c r="F14" s="4033"/>
      <c r="G14" s="1238"/>
      <c r="H14" s="1238"/>
      <c r="I14" s="1238"/>
      <c r="J14" s="1238"/>
      <c r="K14" s="1238"/>
      <c r="L14" s="1263"/>
      <c r="M14" s="1245"/>
      <c r="N14" s="1245"/>
      <c r="P14" s="1240"/>
      <c r="Q14" s="1241"/>
      <c r="R14" s="1240"/>
      <c r="S14" s="1246"/>
      <c r="T14" s="1247" t="s">
        <v>236</v>
      </c>
      <c r="U14" s="1248"/>
      <c r="V14" s="1248"/>
      <c r="W14" s="1248"/>
      <c r="X14" s="1248"/>
      <c r="Y14" s="1248"/>
      <c r="Z14" s="1248"/>
      <c r="AA14" s="1248"/>
      <c r="AB14" s="1248"/>
      <c r="AC14" s="1248"/>
      <c r="AD14" s="1248"/>
      <c r="AE14" s="1248"/>
      <c r="AF14" s="1248"/>
      <c r="AG14" s="1248"/>
      <c r="AH14" s="1248"/>
      <c r="AI14" s="1248"/>
      <c r="AJ14" s="1248"/>
      <c r="AK14" s="1248"/>
      <c r="AL14" s="1248"/>
      <c r="AM14" s="1248"/>
      <c r="AO14" s="717"/>
      <c r="AP14" s="717" t="str">
        <f t="shared" si="0"/>
        <v>Добавить централизованную систему для дифференциации</v>
      </c>
      <c r="AQ14" s="717"/>
      <c r="AR14" s="717"/>
      <c r="AS14" s="452">
        <v>0</v>
      </c>
    </row>
    <row r="15" spans="1:45" s="1566" customFormat="1" ht="14.25" hidden="1" customHeight="1">
      <c r="A15" s="1238"/>
      <c r="B15" s="1238"/>
      <c r="C15" s="1238"/>
      <c r="D15" s="1238"/>
      <c r="E15" s="4033"/>
      <c r="F15" s="1238"/>
      <c r="G15" s="1238"/>
      <c r="H15" s="1238"/>
      <c r="I15" s="1238"/>
      <c r="J15" s="1238"/>
      <c r="K15" s="1238"/>
      <c r="L15" s="1263"/>
      <c r="M15" s="1245"/>
      <c r="N15" s="1245"/>
      <c r="P15" s="1240"/>
      <c r="Q15" s="1241"/>
      <c r="R15" s="1240"/>
      <c r="S15" s="1246"/>
      <c r="T15" s="1249" t="s">
        <v>286</v>
      </c>
      <c r="U15" s="1248"/>
      <c r="V15" s="1248"/>
      <c r="W15" s="1248"/>
      <c r="X15" s="1248"/>
      <c r="Y15" s="1248"/>
      <c r="Z15" s="1248"/>
      <c r="AA15" s="1248"/>
      <c r="AB15" s="1248"/>
      <c r="AC15" s="1248"/>
      <c r="AD15" s="1248"/>
      <c r="AE15" s="1248"/>
      <c r="AF15" s="1248"/>
      <c r="AG15" s="1248"/>
      <c r="AH15" s="1248"/>
      <c r="AI15" s="1248"/>
      <c r="AJ15" s="1248"/>
      <c r="AK15" s="1248"/>
      <c r="AL15" s="1248"/>
      <c r="AM15" s="1248"/>
      <c r="AO15" s="717"/>
      <c r="AP15" s="717" t="str">
        <f t="shared" si="0"/>
        <v>Добавить территорию для дифференциации</v>
      </c>
      <c r="AQ15" s="717"/>
      <c r="AR15" s="717"/>
      <c r="AS15" s="452">
        <v>0</v>
      </c>
    </row>
    <row r="16" spans="1:45" ht="14.25" hidden="1" customHeight="1">
      <c r="AC16" s="262"/>
      <c r="AK16" s="262"/>
      <c r="AS16" s="1079">
        <v>0</v>
      </c>
    </row>
    <row r="17" spans="1:45" ht="14.25" hidden="1" customHeight="1">
      <c r="AD17" s="1284"/>
      <c r="AE17" s="1284"/>
      <c r="AF17" s="1284"/>
      <c r="AG17" s="1285"/>
      <c r="AH17" s="4031"/>
      <c r="AI17" s="4030" t="s">
        <v>53</v>
      </c>
      <c r="AJ17" s="4031"/>
      <c r="AK17" s="4030" t="s">
        <v>53</v>
      </c>
      <c r="AS17" s="1079">
        <v>0</v>
      </c>
    </row>
    <row r="18" spans="1:45" ht="14.25" hidden="1" customHeight="1">
      <c r="AD18" s="1284"/>
      <c r="AE18" s="1284"/>
      <c r="AF18" s="1284"/>
      <c r="AG18" s="263" t="str">
        <f>AH17&amp;"-"&amp;AJ17</f>
        <v>-</v>
      </c>
      <c r="AH18" s="4030"/>
      <c r="AI18" s="4030"/>
      <c r="AJ18" s="4030"/>
      <c r="AK18" s="4030"/>
      <c r="AS18" s="1079">
        <v>0</v>
      </c>
    </row>
    <row r="19" spans="1:45" ht="14.25" hidden="1" customHeight="1">
      <c r="AK19" s="262"/>
      <c r="AS19" s="1079">
        <v>0</v>
      </c>
    </row>
    <row r="20" spans="1:45" s="1290" customFormat="1" ht="22.5" hidden="1" customHeight="1">
      <c r="L20" s="1253"/>
      <c r="M20" s="1286"/>
      <c r="N20" s="1286"/>
      <c r="O20" s="1291" t="s">
        <v>622</v>
      </c>
      <c r="P20" s="1286"/>
      <c r="Q20" s="1295"/>
      <c r="R20" s="1295"/>
      <c r="S20" s="663"/>
      <c r="Z20" s="1291"/>
      <c r="AB20" s="1291"/>
      <c r="AH20" s="1291"/>
      <c r="AJ20" s="1291"/>
      <c r="AN20" s="445"/>
      <c r="AO20" s="445"/>
      <c r="AP20" s="445"/>
      <c r="AQ20" s="445"/>
      <c r="AR20" s="445"/>
      <c r="AS20" s="1084">
        <v>0</v>
      </c>
    </row>
    <row r="21" spans="1:45" s="1290" customFormat="1" ht="14.25" hidden="1" customHeight="1">
      <c r="L21" s="1253"/>
      <c r="M21" s="1286"/>
      <c r="N21" s="1286"/>
      <c r="O21" s="1286"/>
      <c r="P21" s="1286"/>
      <c r="Q21" s="1295"/>
      <c r="R21" s="1295"/>
      <c r="S21" s="663"/>
      <c r="AN21" s="445"/>
      <c r="AO21" s="445"/>
      <c r="AP21" s="445"/>
      <c r="AQ21" s="445"/>
      <c r="AR21" s="445"/>
      <c r="AS21" s="1084">
        <v>0</v>
      </c>
    </row>
    <row r="22" spans="1:45" s="1290" customFormat="1" ht="14.25" hidden="1" customHeight="1">
      <c r="L22" s="1253"/>
      <c r="M22" s="1286"/>
      <c r="N22" s="1286"/>
      <c r="O22" s="1288" t="s">
        <v>623</v>
      </c>
      <c r="P22" s="1286"/>
      <c r="Q22" s="1295"/>
      <c r="R22" s="1295"/>
      <c r="S22" s="663"/>
      <c r="T22" s="1084" t="s">
        <v>624</v>
      </c>
      <c r="AA22" s="121" t="s">
        <v>625</v>
      </c>
      <c r="AC22" s="121" t="s">
        <v>626</v>
      </c>
      <c r="AD22" s="1084" t="s">
        <v>624</v>
      </c>
      <c r="AI22" s="121" t="s">
        <v>627</v>
      </c>
      <c r="AK22" s="121" t="s">
        <v>626</v>
      </c>
      <c r="AN22" s="445"/>
      <c r="AO22" s="445"/>
      <c r="AP22" s="445"/>
      <c r="AQ22" s="445"/>
      <c r="AR22" s="445"/>
      <c r="AS22" s="1084">
        <v>0</v>
      </c>
    </row>
    <row r="23" spans="1:45" ht="14.25" hidden="1" customHeight="1">
      <c r="O23" s="1288"/>
      <c r="AS23" s="1079">
        <v>0</v>
      </c>
    </row>
    <row r="24" spans="1:45" ht="14.25" hidden="1" customHeight="1">
      <c r="O24" s="1288"/>
      <c r="AS24" s="1079">
        <v>0</v>
      </c>
    </row>
    <row r="25" spans="1:45" ht="14.65" customHeight="1">
      <c r="Q25" s="310"/>
      <c r="R25" s="310"/>
      <c r="S25" s="1199"/>
      <c r="T25" s="297"/>
      <c r="U25" s="297"/>
      <c r="V25" s="443"/>
      <c r="W25" s="443"/>
      <c r="X25" s="443"/>
      <c r="Y25" s="443"/>
      <c r="Z25" s="443"/>
      <c r="AA25" s="443"/>
      <c r="AB25" s="443"/>
      <c r="AC25" s="443"/>
      <c r="AD25" s="443"/>
      <c r="AE25" s="443"/>
      <c r="AF25" s="443"/>
      <c r="AG25" s="443"/>
      <c r="AH25" s="443"/>
      <c r="AI25" s="443"/>
      <c r="AJ25" s="443"/>
      <c r="AK25" s="443"/>
      <c r="AS25" s="1079">
        <v>14</v>
      </c>
    </row>
    <row r="26" spans="1:45" ht="53.45" customHeight="1">
      <c r="Q26" s="310"/>
      <c r="R26" s="310"/>
      <c r="S26" s="40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014"/>
      <c r="U26" s="4014"/>
      <c r="V26" s="4014"/>
      <c r="W26" s="4014"/>
      <c r="X26" s="4014"/>
      <c r="Y26" s="4014"/>
      <c r="Z26" s="4014"/>
      <c r="AA26" s="4014"/>
      <c r="AB26" s="4014"/>
      <c r="AC26" s="4014"/>
      <c r="AD26" s="4014"/>
      <c r="AE26" s="4014"/>
      <c r="AF26" s="4014"/>
      <c r="AG26" s="4014"/>
      <c r="AH26" s="4014"/>
      <c r="AI26" s="4014"/>
      <c r="AJ26" s="4014"/>
      <c r="AK26" s="1167"/>
      <c r="AS26" s="1079">
        <v>51</v>
      </c>
    </row>
    <row r="27" spans="1:45" ht="14.65" customHeight="1">
      <c r="Q27" s="310"/>
      <c r="R27" s="310"/>
      <c r="S27" s="3987" t="str">
        <f>IF(org=0,"Не определено",org)</f>
        <v>ООО "Смоленскрегионтеплоэнерго"</v>
      </c>
      <c r="T27" s="3987"/>
      <c r="U27" s="3987"/>
      <c r="V27" s="3987"/>
      <c r="W27" s="3987"/>
      <c r="X27" s="3987"/>
      <c r="Y27" s="3987"/>
      <c r="Z27" s="3987"/>
      <c r="AA27" s="3987"/>
      <c r="AB27" s="3987"/>
      <c r="AC27" s="3987"/>
      <c r="AD27" s="3987"/>
      <c r="AE27" s="3987"/>
      <c r="AF27" s="3987"/>
      <c r="AG27" s="3987"/>
      <c r="AH27" s="3987"/>
      <c r="AI27" s="3987"/>
      <c r="AJ27" s="3987"/>
      <c r="AK27" s="1167"/>
      <c r="AS27" s="1079">
        <v>14</v>
      </c>
    </row>
    <row r="28" spans="1:45" ht="14.25" hidden="1" customHeight="1">
      <c r="Q28" s="310"/>
      <c r="R28" s="310"/>
      <c r="S28" s="1199"/>
      <c r="T28" s="297"/>
      <c r="U28" s="297"/>
      <c r="V28" s="257"/>
      <c r="W28" s="257"/>
      <c r="X28" s="257"/>
      <c r="Y28" s="257"/>
      <c r="Z28" s="257"/>
      <c r="AA28" s="257"/>
      <c r="AB28" s="257"/>
      <c r="AC28" s="257"/>
      <c r="AD28" s="257"/>
      <c r="AE28" s="257"/>
      <c r="AF28" s="257"/>
      <c r="AG28" s="257"/>
      <c r="AH28" s="257"/>
      <c r="AI28" s="257"/>
      <c r="AJ28" s="257"/>
      <c r="AK28" s="257"/>
      <c r="AL28" s="443"/>
      <c r="AS28" s="1079">
        <v>0</v>
      </c>
    </row>
    <row r="29" spans="1:45" s="1748" customFormat="1" ht="25.5" hidden="1" customHeight="1">
      <c r="A29" s="1292"/>
      <c r="B29" s="1292"/>
      <c r="C29" s="1292"/>
      <c r="D29" s="1292"/>
      <c r="E29" s="1292"/>
      <c r="F29" s="1292"/>
      <c r="G29" s="1292"/>
      <c r="H29" s="1292"/>
      <c r="I29" s="1292"/>
      <c r="J29" s="1292"/>
      <c r="K29" s="1292"/>
      <c r="L29" s="1293"/>
      <c r="M29" s="1292"/>
      <c r="N29" s="1292"/>
      <c r="O29" s="1292"/>
      <c r="S29" s="4024" t="s">
        <v>29</v>
      </c>
      <c r="T29" s="4024"/>
      <c r="U29" s="1296"/>
      <c r="V29" s="4026" t="str">
        <f>IF(TITLE_NAME_OR_PR_CHANGE="",IF(TITLE_NAME_OR_PR="","",TITLE_NAME_OR_PR),TITLE_NAME_OR_PR_CHANGE)</f>
        <v/>
      </c>
      <c r="W29" s="4026"/>
      <c r="X29" s="4026"/>
      <c r="Y29" s="4026"/>
      <c r="Z29" s="4026"/>
      <c r="AA29" s="4026"/>
      <c r="AB29" s="4026"/>
      <c r="AC29" s="261"/>
      <c r="AD29" s="4026" t="str">
        <f>IF(TITLE_NAME_OR_PR_CHANGE="",IF(TITLE_NAME_OR_PR="","",TITLE_NAME_OR_PR),TITLE_NAME_OR_PR_CHANGE)</f>
        <v/>
      </c>
      <c r="AE29" s="4026"/>
      <c r="AF29" s="4026"/>
      <c r="AG29" s="4026"/>
      <c r="AH29" s="4026"/>
      <c r="AI29" s="4026"/>
      <c r="AJ29" s="4026"/>
      <c r="AK29" s="261"/>
      <c r="AL29" s="261"/>
      <c r="AM29" s="215"/>
      <c r="AN29" s="302"/>
      <c r="AO29" s="302"/>
      <c r="AP29" s="302"/>
      <c r="AQ29" s="302"/>
      <c r="AR29" s="302"/>
      <c r="AS29" s="352">
        <v>0</v>
      </c>
    </row>
    <row r="30" spans="1:45" s="1748" customFormat="1" ht="18.75" hidden="1" customHeight="1">
      <c r="A30" s="1292"/>
      <c r="B30" s="1292"/>
      <c r="C30" s="1292"/>
      <c r="D30" s="1292"/>
      <c r="E30" s="1292"/>
      <c r="F30" s="1292"/>
      <c r="G30" s="1292"/>
      <c r="H30" s="1292"/>
      <c r="I30" s="1292"/>
      <c r="J30" s="1292"/>
      <c r="K30" s="1292"/>
      <c r="L30" s="1293"/>
      <c r="M30" s="1292"/>
      <c r="N30" s="1292"/>
      <c r="O30" s="1292"/>
      <c r="S30" s="4024" t="s">
        <v>628</v>
      </c>
      <c r="T30" s="4024"/>
      <c r="U30" s="1296"/>
      <c r="V30" s="4025">
        <f>IF(TITLE_DATE_PR_CHANGE="",IF(TITLE_DATE_PR="","",TITLE_DATE_PR),TITLE_DATE_PR_CHANGE)</f>
        <v>45765</v>
      </c>
      <c r="W30" s="4025"/>
      <c r="X30" s="4025"/>
      <c r="Y30" s="4025"/>
      <c r="Z30" s="4025"/>
      <c r="AA30" s="4025"/>
      <c r="AB30" s="4025"/>
      <c r="AC30" s="261"/>
      <c r="AD30" s="4025">
        <f>IF(TITLE_DATE_PR_CHANGE="",IF(TITLE_DATE_PR="","",TITLE_DATE_PR),TITLE_DATE_PR_CHANGE)</f>
        <v>45765</v>
      </c>
      <c r="AE30" s="4025"/>
      <c r="AF30" s="4025"/>
      <c r="AG30" s="4025"/>
      <c r="AH30" s="4025"/>
      <c r="AI30" s="4025"/>
      <c r="AJ30" s="4025"/>
      <c r="AK30" s="261"/>
      <c r="AL30" s="261"/>
      <c r="AM30" s="215"/>
      <c r="AN30" s="302"/>
      <c r="AO30" s="302"/>
      <c r="AP30" s="302"/>
      <c r="AQ30" s="302"/>
      <c r="AR30" s="302"/>
      <c r="AS30" s="352">
        <v>0</v>
      </c>
    </row>
    <row r="31" spans="1:45" s="1748" customFormat="1" ht="18.75" hidden="1" customHeight="1">
      <c r="A31" s="1292"/>
      <c r="B31" s="1292"/>
      <c r="C31" s="1292"/>
      <c r="D31" s="1292"/>
      <c r="E31" s="1292"/>
      <c r="F31" s="1292"/>
      <c r="G31" s="1292"/>
      <c r="H31" s="1292"/>
      <c r="I31" s="1292"/>
      <c r="J31" s="1292"/>
      <c r="K31" s="1292"/>
      <c r="L31" s="1293"/>
      <c r="M31" s="1292"/>
      <c r="N31" s="1292"/>
      <c r="O31" s="1292"/>
      <c r="S31" s="4024" t="s">
        <v>629</v>
      </c>
      <c r="T31" s="4024"/>
      <c r="U31" s="1296"/>
      <c r="V31" s="4026" t="str">
        <f>IF(TITLE_NUMBER_PR_CHANGE="",IF(TITLE_NUMBER_PR="","",TITLE_NUMBER_PR),TITLE_NUMBER_PR_CHANGE)</f>
        <v>917</v>
      </c>
      <c r="W31" s="4026"/>
      <c r="X31" s="4026"/>
      <c r="Y31" s="4026"/>
      <c r="Z31" s="4026"/>
      <c r="AA31" s="4026"/>
      <c r="AB31" s="4026"/>
      <c r="AC31" s="261"/>
      <c r="AD31" s="4026" t="str">
        <f>IF(TITLE_NUMBER_PR_CHANGE="",IF(TITLE_NUMBER_PR="","",TITLE_NUMBER_PR),TITLE_NUMBER_PR_CHANGE)</f>
        <v>917</v>
      </c>
      <c r="AE31" s="4026"/>
      <c r="AF31" s="4026"/>
      <c r="AG31" s="4026"/>
      <c r="AH31" s="4026"/>
      <c r="AI31" s="4026"/>
      <c r="AJ31" s="4026"/>
      <c r="AK31" s="261"/>
      <c r="AL31" s="261"/>
      <c r="AM31" s="215"/>
      <c r="AN31" s="302"/>
      <c r="AO31" s="302"/>
      <c r="AP31" s="302"/>
      <c r="AQ31" s="302"/>
      <c r="AR31" s="302"/>
      <c r="AS31" s="352">
        <v>0</v>
      </c>
    </row>
    <row r="32" spans="1:45" s="1748" customFormat="1" ht="18.75" hidden="1" customHeight="1">
      <c r="A32" s="1292"/>
      <c r="B32" s="1292"/>
      <c r="C32" s="1292"/>
      <c r="D32" s="1292"/>
      <c r="E32" s="1292"/>
      <c r="F32" s="1292"/>
      <c r="G32" s="1292"/>
      <c r="H32" s="1292"/>
      <c r="I32" s="1292"/>
      <c r="J32" s="1292"/>
      <c r="K32" s="1292"/>
      <c r="L32" s="1293"/>
      <c r="M32" s="1292"/>
      <c r="N32" s="1292"/>
      <c r="O32" s="1292"/>
      <c r="S32" s="4024" t="s">
        <v>30</v>
      </c>
      <c r="T32" s="4024"/>
      <c r="U32" s="1296"/>
      <c r="V32" s="4026" t="str">
        <f>IF(TITLE_IST_PUB_CHANGE="",IF(TITLE_IST_PUB="","",TITLE_IST_PUB),TITLE_IST_PUB_CHANGE)</f>
        <v/>
      </c>
      <c r="W32" s="4026"/>
      <c r="X32" s="4026"/>
      <c r="Y32" s="4026"/>
      <c r="Z32" s="4026"/>
      <c r="AA32" s="4026"/>
      <c r="AB32" s="4026"/>
      <c r="AC32" s="261"/>
      <c r="AD32" s="4026" t="str">
        <f>IF(TITLE_IST_PUB_CHANGE="",IF(TITLE_IST_PUB="","",TITLE_IST_PUB),TITLE_IST_PUB_CHANGE)</f>
        <v/>
      </c>
      <c r="AE32" s="4026"/>
      <c r="AF32" s="4026"/>
      <c r="AG32" s="4026"/>
      <c r="AH32" s="4026"/>
      <c r="AI32" s="4026"/>
      <c r="AJ32" s="4026"/>
      <c r="AK32" s="261"/>
      <c r="AL32" s="261"/>
      <c r="AM32" s="215"/>
      <c r="AN32" s="302"/>
      <c r="AO32" s="302"/>
      <c r="AP32" s="302"/>
      <c r="AQ32" s="302"/>
      <c r="AR32" s="302"/>
      <c r="AS32" s="352">
        <v>0</v>
      </c>
    </row>
    <row r="33" spans="1:45" ht="14.25" customHeight="1">
      <c r="Q33" s="310"/>
      <c r="R33" s="310"/>
      <c r="S33" s="1199"/>
      <c r="T33" s="297"/>
      <c r="U33" s="297"/>
      <c r="V33" s="257"/>
      <c r="W33" s="257"/>
      <c r="X33" s="257"/>
      <c r="Y33" s="257"/>
      <c r="Z33" s="257"/>
      <c r="AA33" s="257"/>
      <c r="AB33" s="257"/>
      <c r="AC33" s="257"/>
      <c r="AD33" s="257"/>
      <c r="AE33" s="257"/>
      <c r="AF33" s="257"/>
      <c r="AG33" s="257"/>
      <c r="AH33" s="257"/>
      <c r="AI33" s="257"/>
      <c r="AJ33" s="257"/>
      <c r="AK33" s="257"/>
      <c r="AL33" s="443"/>
      <c r="AS33" s="1079">
        <v>0</v>
      </c>
    </row>
    <row r="34" spans="1:45" s="1748" customFormat="1" ht="18.75" customHeight="1">
      <c r="A34" s="1292"/>
      <c r="B34" s="1292"/>
      <c r="C34" s="1292"/>
      <c r="D34" s="1292"/>
      <c r="E34" s="1292"/>
      <c r="F34" s="1292"/>
      <c r="G34" s="1292"/>
      <c r="H34" s="1292"/>
      <c r="I34" s="1292"/>
      <c r="J34" s="1292"/>
      <c r="K34" s="1292"/>
      <c r="L34" s="1293"/>
      <c r="M34" s="1292"/>
      <c r="N34" s="1292"/>
      <c r="O34" s="1292"/>
      <c r="S34" s="4024" t="s">
        <v>630</v>
      </c>
      <c r="T34" s="4024"/>
      <c r="U34" s="1296"/>
      <c r="V34" s="4025">
        <f>IF(TITLE_DATE_PR_CHANGE="",IF(TITLE_DATE_PR="","",TITLE_DATE_PR),TITLE_DATE_PR_CHANGE)</f>
        <v>45765</v>
      </c>
      <c r="W34" s="4025"/>
      <c r="X34" s="4025"/>
      <c r="Y34" s="4025"/>
      <c r="Z34" s="4025"/>
      <c r="AA34" s="4025"/>
      <c r="AB34" s="4025"/>
      <c r="AC34" s="261"/>
      <c r="AD34" s="4025">
        <f>IF(TITLE_DATE_PR_CHANGE="",IF(TITLE_DATE_PR="","",TITLE_DATE_PR),TITLE_DATE_PR_CHANGE)</f>
        <v>45765</v>
      </c>
      <c r="AE34" s="4025"/>
      <c r="AF34" s="4025"/>
      <c r="AG34" s="4025"/>
      <c r="AH34" s="4025"/>
      <c r="AI34" s="4025"/>
      <c r="AJ34" s="4025"/>
      <c r="AK34" s="261"/>
      <c r="AL34" s="261"/>
      <c r="AM34" s="215"/>
      <c r="AN34" s="302"/>
      <c r="AO34" s="302"/>
      <c r="AP34" s="302"/>
      <c r="AQ34" s="302"/>
      <c r="AR34" s="302"/>
      <c r="AS34" s="352">
        <v>0</v>
      </c>
    </row>
    <row r="35" spans="1:45" s="1748" customFormat="1" ht="25.5" customHeight="1">
      <c r="A35" s="1292"/>
      <c r="B35" s="1292"/>
      <c r="C35" s="1292"/>
      <c r="D35" s="1292"/>
      <c r="E35" s="1292"/>
      <c r="F35" s="1292"/>
      <c r="G35" s="1292"/>
      <c r="H35" s="1292"/>
      <c r="I35" s="1292"/>
      <c r="J35" s="1292"/>
      <c r="K35" s="1292"/>
      <c r="L35" s="1293"/>
      <c r="M35" s="1292"/>
      <c r="N35" s="1292"/>
      <c r="O35" s="1292"/>
      <c r="S35" s="4024" t="s">
        <v>631</v>
      </c>
      <c r="T35" s="4024"/>
      <c r="U35" s="1296"/>
      <c r="V35" s="4026" t="str">
        <f>IF(TITLE_NUMBER_PR_CHANGE="",IF(TITLE_NUMBER_PR="","",TITLE_NUMBER_PR),TITLE_NUMBER_PR_CHANGE)</f>
        <v>917</v>
      </c>
      <c r="W35" s="4026"/>
      <c r="X35" s="4026"/>
      <c r="Y35" s="4026"/>
      <c r="Z35" s="4026"/>
      <c r="AA35" s="4026"/>
      <c r="AB35" s="4026"/>
      <c r="AC35" s="261"/>
      <c r="AD35" s="4026" t="str">
        <f>IF(TITLE_NUMBER_PR_CHANGE="",IF(TITLE_NUMBER_PR="","",TITLE_NUMBER_PR),TITLE_NUMBER_PR_CHANGE)</f>
        <v>917</v>
      </c>
      <c r="AE35" s="4026"/>
      <c r="AF35" s="4026"/>
      <c r="AG35" s="4026"/>
      <c r="AH35" s="4026"/>
      <c r="AI35" s="4026"/>
      <c r="AJ35" s="4026"/>
      <c r="AK35" s="261"/>
      <c r="AL35" s="261"/>
      <c r="AM35" s="215"/>
      <c r="AN35" s="302"/>
      <c r="AO35" s="302"/>
      <c r="AP35" s="302"/>
      <c r="AQ35" s="302"/>
      <c r="AR35" s="302"/>
      <c r="AS35" s="352">
        <v>0</v>
      </c>
    </row>
    <row r="36" spans="1:45" s="1748" customFormat="1" ht="0" hidden="1" customHeight="1">
      <c r="A36" s="1292"/>
      <c r="B36" s="1292"/>
      <c r="C36" s="1292"/>
      <c r="D36" s="1292"/>
      <c r="E36" s="1292"/>
      <c r="F36" s="1292"/>
      <c r="G36" s="1292"/>
      <c r="H36" s="1292"/>
      <c r="I36" s="1292"/>
      <c r="J36" s="1292"/>
      <c r="K36" s="1292"/>
      <c r="L36" s="1293"/>
      <c r="M36" s="1292"/>
      <c r="N36" s="1292"/>
      <c r="O36" s="1292"/>
      <c r="S36" s="258"/>
      <c r="T36" s="258"/>
      <c r="U36" s="1264"/>
      <c r="V36" s="261"/>
      <c r="W36" s="261"/>
      <c r="X36" s="261"/>
      <c r="Y36" s="261"/>
      <c r="Z36" s="261"/>
      <c r="AA36" s="261"/>
      <c r="AB36" s="261"/>
      <c r="AC36" s="213" t="s">
        <v>632</v>
      </c>
      <c r="AD36" s="261"/>
      <c r="AE36" s="261"/>
      <c r="AF36" s="261"/>
      <c r="AG36" s="261"/>
      <c r="AH36" s="261"/>
      <c r="AI36" s="261"/>
      <c r="AJ36" s="261"/>
      <c r="AK36" s="213" t="s">
        <v>632</v>
      </c>
      <c r="AN36" s="302"/>
      <c r="AO36" s="302"/>
      <c r="AP36" s="302"/>
      <c r="AQ36" s="302"/>
      <c r="AR36" s="302"/>
      <c r="AS36" s="352">
        <v>0</v>
      </c>
    </row>
    <row r="37" spans="1:45" ht="14.65" customHeight="1">
      <c r="Q37" s="310"/>
      <c r="R37" s="310"/>
      <c r="S37" s="1199"/>
      <c r="T37" s="297"/>
      <c r="U37" s="1168"/>
      <c r="V37" s="4045"/>
      <c r="W37" s="4045"/>
      <c r="X37" s="4045"/>
      <c r="Y37" s="4045"/>
      <c r="Z37" s="4045"/>
      <c r="AA37" s="4045"/>
      <c r="AB37" s="4045"/>
      <c r="AC37" s="4045"/>
      <c r="AD37" s="4045"/>
      <c r="AE37" s="4045"/>
      <c r="AF37" s="4045"/>
      <c r="AG37" s="4045"/>
      <c r="AH37" s="4045"/>
      <c r="AI37" s="4045"/>
      <c r="AJ37" s="4045"/>
      <c r="AK37" s="4045"/>
      <c r="AS37" s="1079">
        <v>14</v>
      </c>
    </row>
    <row r="38" spans="1:45" ht="14.65" customHeight="1">
      <c r="Q38" s="310"/>
      <c r="R38" s="310"/>
      <c r="S38" s="3889" t="s">
        <v>508</v>
      </c>
      <c r="T38" s="3889"/>
      <c r="U38" s="3889"/>
      <c r="V38" s="3889"/>
      <c r="W38" s="3889"/>
      <c r="X38" s="3889"/>
      <c r="Y38" s="3889"/>
      <c r="Z38" s="3889"/>
      <c r="AA38" s="3889"/>
      <c r="AB38" s="3889"/>
      <c r="AC38" s="3889"/>
      <c r="AD38" s="3889"/>
      <c r="AE38" s="3889"/>
      <c r="AF38" s="3889"/>
      <c r="AG38" s="3889"/>
      <c r="AH38" s="3889"/>
      <c r="AI38" s="3889"/>
      <c r="AJ38" s="3889"/>
      <c r="AK38" s="3889"/>
      <c r="AL38" s="3889"/>
      <c r="AM38" s="3889" t="s">
        <v>509</v>
      </c>
      <c r="AS38" s="1079">
        <v>14</v>
      </c>
    </row>
    <row r="39" spans="1:45" ht="14.65" customHeight="1">
      <c r="Q39" s="310"/>
      <c r="R39" s="310"/>
      <c r="S39" s="4046" t="s">
        <v>75</v>
      </c>
      <c r="T39" s="3995" t="s">
        <v>633</v>
      </c>
      <c r="U39" s="236"/>
      <c r="V39" s="4047" t="s">
        <v>634</v>
      </c>
      <c r="W39" s="4048"/>
      <c r="X39" s="4048"/>
      <c r="Y39" s="4048"/>
      <c r="Z39" s="4048"/>
      <c r="AA39" s="4048"/>
      <c r="AB39" s="4049"/>
      <c r="AC39" s="4050" t="s">
        <v>635</v>
      </c>
      <c r="AD39" s="4047" t="s">
        <v>634</v>
      </c>
      <c r="AE39" s="4048"/>
      <c r="AF39" s="4048"/>
      <c r="AG39" s="4048"/>
      <c r="AH39" s="4048"/>
      <c r="AI39" s="4048"/>
      <c r="AJ39" s="4049"/>
      <c r="AK39" s="4050" t="s">
        <v>636</v>
      </c>
      <c r="AL39" s="4053" t="s">
        <v>637</v>
      </c>
      <c r="AM39" s="3889"/>
      <c r="AS39" s="1079">
        <v>14</v>
      </c>
    </row>
    <row r="40" spans="1:45" ht="35.65" customHeight="1">
      <c r="Q40" s="310"/>
      <c r="R40" s="310"/>
      <c r="S40" s="4046"/>
      <c r="T40" s="3995"/>
      <c r="U40" s="958"/>
      <c r="V40" s="3967" t="s">
        <v>638</v>
      </c>
      <c r="W40" s="4042"/>
      <c r="X40" s="3870" t="s">
        <v>640</v>
      </c>
      <c r="Y40" s="3869"/>
      <c r="Z40" s="3870" t="s">
        <v>641</v>
      </c>
      <c r="AA40" s="3875"/>
      <c r="AB40" s="3869"/>
      <c r="AC40" s="4051"/>
      <c r="AD40" s="3967" t="s">
        <v>655</v>
      </c>
      <c r="AE40" s="4042"/>
      <c r="AF40" s="3870" t="s">
        <v>640</v>
      </c>
      <c r="AG40" s="3869"/>
      <c r="AH40" s="3870" t="s">
        <v>641</v>
      </c>
      <c r="AI40" s="3875"/>
      <c r="AJ40" s="3869"/>
      <c r="AK40" s="4051"/>
      <c r="AL40" s="4054"/>
      <c r="AM40" s="3889"/>
      <c r="AS40" s="1079">
        <v>34</v>
      </c>
    </row>
    <row r="41" spans="1:45" ht="35.65" customHeight="1">
      <c r="A41" s="1294"/>
      <c r="B41" s="1294" t="s">
        <v>207</v>
      </c>
      <c r="C41" s="1294" t="s">
        <v>208</v>
      </c>
      <c r="D41" s="1294" t="s">
        <v>209</v>
      </c>
      <c r="E41" s="1288" t="s">
        <v>642</v>
      </c>
      <c r="F41" s="1288" t="s">
        <v>643</v>
      </c>
      <c r="G41" s="1288" t="s">
        <v>644</v>
      </c>
      <c r="H41" s="1288" t="s">
        <v>645</v>
      </c>
      <c r="I41" s="1288" t="s">
        <v>646</v>
      </c>
      <c r="J41" s="1288" t="s">
        <v>647</v>
      </c>
      <c r="K41" s="1288" t="s">
        <v>648</v>
      </c>
      <c r="L41" s="1288" t="s">
        <v>623</v>
      </c>
      <c r="Q41" s="310"/>
      <c r="R41" s="310"/>
      <c r="S41" s="4046"/>
      <c r="T41" s="3995"/>
      <c r="U41" s="237"/>
      <c r="V41" s="4019"/>
      <c r="W41" s="4043"/>
      <c r="X41" s="1146" t="s">
        <v>649</v>
      </c>
      <c r="Y41" s="1146" t="s">
        <v>650</v>
      </c>
      <c r="Z41" s="1262" t="s">
        <v>651</v>
      </c>
      <c r="AA41" s="4000" t="s">
        <v>652</v>
      </c>
      <c r="AB41" s="4013"/>
      <c r="AC41" s="4052"/>
      <c r="AD41" s="4019"/>
      <c r="AE41" s="4043"/>
      <c r="AF41" s="1146" t="s">
        <v>649</v>
      </c>
      <c r="AG41" s="1146" t="s">
        <v>650</v>
      </c>
      <c r="AH41" s="1262" t="s">
        <v>651</v>
      </c>
      <c r="AI41" s="4000" t="s">
        <v>652</v>
      </c>
      <c r="AJ41" s="4013"/>
      <c r="AK41" s="4052"/>
      <c r="AL41" s="4055"/>
      <c r="AM41" s="3889"/>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184</v>
      </c>
      <c r="T42" s="1179" t="s">
        <v>89</v>
      </c>
      <c r="U42" s="1169" t="str">
        <f ca="1">OFFSET(U42,0,-1)</f>
        <v>2</v>
      </c>
      <c r="V42" s="1259">
        <f ca="1">OFFSET(V42,0,-1)+1</f>
        <v>3</v>
      </c>
      <c r="W42" s="1259"/>
      <c r="X42" s="1259">
        <f ca="1">OFFSET(X42,0,-1)+1</f>
        <v>1</v>
      </c>
      <c r="Y42" s="1259">
        <f ca="1">OFFSET(Y42,0,-1)+1</f>
        <v>2</v>
      </c>
      <c r="Z42" s="1259">
        <f ca="1">OFFSET(Z42,0,-1)+1</f>
        <v>3</v>
      </c>
      <c r="AA42" s="4044">
        <f ca="1">OFFSET(AA42,0,-1)+1</f>
        <v>4</v>
      </c>
      <c r="AB42" s="4044"/>
      <c r="AC42" s="1259">
        <f ca="1">OFFSET(AC42,0,-2)+1</f>
        <v>5</v>
      </c>
      <c r="AD42" s="1259">
        <f ca="1">OFFSET(AD42,0,-1)+1</f>
        <v>6</v>
      </c>
      <c r="AE42" s="1259"/>
      <c r="AF42" s="1259">
        <f ca="1">OFFSET(AF42,0,-1)+1</f>
        <v>1</v>
      </c>
      <c r="AG42" s="1259">
        <f ca="1">OFFSET(AG42,0,-1)+1</f>
        <v>2</v>
      </c>
      <c r="AH42" s="1259">
        <f ca="1">OFFSET(AH42,0,-1)+1</f>
        <v>3</v>
      </c>
      <c r="AI42" s="4044">
        <f ca="1">OFFSET(AI42,0,-1)+1</f>
        <v>4</v>
      </c>
      <c r="AJ42" s="4044"/>
      <c r="AK42" s="1259">
        <f ca="1">OFFSET(AK42,0,-2)+1</f>
        <v>5</v>
      </c>
      <c r="AL42" s="1169">
        <f ca="1">OFFSET(AL42,0,-1)</f>
        <v>5</v>
      </c>
      <c r="AM42" s="1259">
        <f ca="1">OFFSET(AM42,0,-1)+1</f>
        <v>6</v>
      </c>
      <c r="AN42" s="445"/>
      <c r="AO42" s="445"/>
      <c r="AP42" s="445"/>
      <c r="AQ42" s="445"/>
      <c r="AR42" s="445"/>
      <c r="AS42" s="430">
        <v>0</v>
      </c>
    </row>
    <row r="43" spans="1:45" ht="21.95" customHeight="1">
      <c r="A43" s="1287" t="s">
        <v>396</v>
      </c>
      <c r="B43" s="1287"/>
      <c r="C43" s="1287"/>
      <c r="D43" s="1287"/>
      <c r="E43" s="4033">
        <v>1</v>
      </c>
      <c r="F43" s="1287"/>
      <c r="G43" s="1287"/>
      <c r="H43" s="1287"/>
      <c r="I43" s="1287"/>
      <c r="J43" s="1287"/>
      <c r="K43" s="1287"/>
      <c r="L43" s="1288"/>
      <c r="M43" s="1289"/>
      <c r="N43" s="1289"/>
      <c r="O43" s="1289"/>
      <c r="P43" s="295"/>
      <c r="Q43" s="294"/>
      <c r="R43" s="289"/>
      <c r="S43" s="1260">
        <f>INDEX(PT_DIFFERENTIATION_NUM_NTAR,MATCH(A43,PT_DIFFERENTIATION_NTAR_ID,0))</f>
        <v>0</v>
      </c>
      <c r="T43" s="233" t="s">
        <v>195</v>
      </c>
      <c r="U43" s="235"/>
      <c r="V43" s="4027"/>
      <c r="W43" s="4028"/>
      <c r="X43" s="4028"/>
      <c r="Y43" s="4028"/>
      <c r="Z43" s="4028"/>
      <c r="AA43" s="4028"/>
      <c r="AB43" s="4028"/>
      <c r="AC43" s="4029"/>
      <c r="AD43" s="4027" t="str">
        <f>INDEX(PT_DIFFERENTIATION_NTAR,MATCH(A43,PT_DIFFERENTIATION_NTAR_ID,0))</f>
        <v/>
      </c>
      <c r="AE43" s="4028"/>
      <c r="AF43" s="4028"/>
      <c r="AG43" s="4028"/>
      <c r="AH43" s="4028"/>
      <c r="AI43" s="4028"/>
      <c r="AJ43" s="4028"/>
      <c r="AK43" s="4028"/>
      <c r="AL43" s="4029"/>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9">
        <v>21</v>
      </c>
    </row>
    <row r="44" spans="1:45" ht="21.95" customHeight="1">
      <c r="A44" s="1287" t="s">
        <v>396</v>
      </c>
      <c r="B44" s="1287" t="s">
        <v>397</v>
      </c>
      <c r="C44" s="1287"/>
      <c r="D44" s="1287"/>
      <c r="E44" s="4034"/>
      <c r="F44" s="4033">
        <v>1</v>
      </c>
      <c r="G44" s="1287"/>
      <c r="H44" s="1287"/>
      <c r="I44" s="1287"/>
      <c r="J44" s="1287"/>
      <c r="K44" s="1287"/>
      <c r="L44" s="1288"/>
      <c r="M44" s="1289"/>
      <c r="N44" s="1289"/>
      <c r="O44" s="1289"/>
      <c r="P44" s="1256"/>
      <c r="Q44" s="286"/>
      <c r="R44" s="287"/>
      <c r="S44" s="1260" t="str">
        <f>INDEX(PT_DIFFERENTIATION_NUM_TER,MATCH(B44,PT_DIFFERENTIATION_TER_ID,0))</f>
        <v>.</v>
      </c>
      <c r="T44" s="243" t="s">
        <v>605</v>
      </c>
      <c r="U44" s="235"/>
      <c r="V44" s="4027"/>
      <c r="W44" s="4028"/>
      <c r="X44" s="4028"/>
      <c r="Y44" s="4028"/>
      <c r="Z44" s="4028"/>
      <c r="AA44" s="4028"/>
      <c r="AB44" s="4028"/>
      <c r="AC44" s="4029"/>
      <c r="AD44" s="4027" t="str">
        <f>INDEX(PT_DIFFERENTIATION_TER,MATCH(B44,PT_DIFFERENTIATION_TER_ID,0))</f>
        <v/>
      </c>
      <c r="AE44" s="4028"/>
      <c r="AF44" s="4028"/>
      <c r="AG44" s="4028"/>
      <c r="AH44" s="4028"/>
      <c r="AI44" s="4028"/>
      <c r="AJ44" s="4028"/>
      <c r="AK44" s="4028"/>
      <c r="AL44" s="4029"/>
      <c r="AM44" s="1182" t="s">
        <v>606</v>
      </c>
      <c r="AO44" s="434"/>
      <c r="AP44" s="434" t="str">
        <f t="shared" si="1"/>
        <v>Территория действия тарифа</v>
      </c>
      <c r="AQ44" s="434"/>
      <c r="AR44" s="434"/>
      <c r="AS44" s="1079">
        <v>21</v>
      </c>
    </row>
    <row r="45" spans="1:45" ht="24" customHeight="1">
      <c r="A45" s="1287" t="s">
        <v>396</v>
      </c>
      <c r="B45" s="1287" t="s">
        <v>397</v>
      </c>
      <c r="C45" s="1287" t="s">
        <v>398</v>
      </c>
      <c r="D45" s="1287"/>
      <c r="E45" s="4034"/>
      <c r="F45" s="4034"/>
      <c r="G45" s="4033">
        <v>1</v>
      </c>
      <c r="H45" s="1287"/>
      <c r="I45" s="1287"/>
      <c r="J45" s="1287"/>
      <c r="K45" s="1287"/>
      <c r="L45" s="1288"/>
      <c r="M45" s="1289"/>
      <c r="N45" s="1289"/>
      <c r="O45" s="1289"/>
      <c r="P45" s="288"/>
      <c r="Q45" s="286"/>
      <c r="R45" s="287"/>
      <c r="S45" s="1260" t="str">
        <f>INDEX(PT_DIFFERENTIATION_NUM_CS,MATCH(C45,PT_DIFFERENTIATION_CS_ID,0))</f>
        <v>..</v>
      </c>
      <c r="T45" s="244" t="s">
        <v>607</v>
      </c>
      <c r="U45" s="235"/>
      <c r="V45" s="4027"/>
      <c r="W45" s="4028"/>
      <c r="X45" s="4028"/>
      <c r="Y45" s="4028"/>
      <c r="Z45" s="4028"/>
      <c r="AA45" s="4028"/>
      <c r="AB45" s="4028"/>
      <c r="AC45" s="4029"/>
      <c r="AD45" s="4027" t="str">
        <f>INDEX(PT_DIFFERENTIATION_CS,MATCH(C45,PT_DIFFERENTIATION_CS_ID,0))</f>
        <v/>
      </c>
      <c r="AE45" s="4028"/>
      <c r="AF45" s="4028"/>
      <c r="AG45" s="4028"/>
      <c r="AH45" s="4028"/>
      <c r="AI45" s="4028"/>
      <c r="AJ45" s="4028"/>
      <c r="AK45" s="4028"/>
      <c r="AL45" s="4029"/>
      <c r="AM45" s="1182" t="s">
        <v>608</v>
      </c>
      <c r="AO45" s="434"/>
      <c r="AP45" s="434" t="str">
        <f t="shared" si="1"/>
        <v xml:space="preserve">Наименование системы теплоснабжения </v>
      </c>
      <c r="AQ45" s="434"/>
      <c r="AR45" s="434"/>
      <c r="AS45" s="1079">
        <v>23</v>
      </c>
    </row>
    <row r="46" spans="1:45" ht="21.95" customHeight="1">
      <c r="A46" s="1287" t="s">
        <v>396</v>
      </c>
      <c r="B46" s="1287" t="s">
        <v>397</v>
      </c>
      <c r="C46" s="1287" t="s">
        <v>398</v>
      </c>
      <c r="D46" s="1287" t="s">
        <v>399</v>
      </c>
      <c r="E46" s="4034"/>
      <c r="F46" s="4034"/>
      <c r="G46" s="4034"/>
      <c r="H46" s="4033">
        <v>1</v>
      </c>
      <c r="I46" s="1287"/>
      <c r="J46" s="1287"/>
      <c r="K46" s="1287"/>
      <c r="L46" s="1288"/>
      <c r="M46" s="1289"/>
      <c r="N46" s="1289"/>
      <c r="O46" s="1289"/>
      <c r="P46" s="288"/>
      <c r="Q46" s="286"/>
      <c r="R46" s="287"/>
      <c r="S46" s="1260" t="str">
        <f>INDEX(PT_DIFFERENTIATION_NUM_IST_TE,MATCH(D46,PT_DIFFERENTIATION_IST_TE_ID,0))</f>
        <v>...</v>
      </c>
      <c r="T46" s="245" t="s">
        <v>609</v>
      </c>
      <c r="U46" s="235"/>
      <c r="V46" s="4027"/>
      <c r="W46" s="4028"/>
      <c r="X46" s="4028"/>
      <c r="Y46" s="4028"/>
      <c r="Z46" s="4028"/>
      <c r="AA46" s="4028"/>
      <c r="AB46" s="4028"/>
      <c r="AC46" s="4029"/>
      <c r="AD46" s="4027" t="str">
        <f>INDEX(PT_DIFFERENTIATION_IST_TE,MATCH(D46,PT_DIFFERENTIATION_IST_TE_ID,0))</f>
        <v/>
      </c>
      <c r="AE46" s="4028"/>
      <c r="AF46" s="4028"/>
      <c r="AG46" s="4028"/>
      <c r="AH46" s="4028"/>
      <c r="AI46" s="4028"/>
      <c r="AJ46" s="4028"/>
      <c r="AK46" s="4028"/>
      <c r="AL46" s="4029"/>
      <c r="AM46" s="1182" t="s">
        <v>610</v>
      </c>
      <c r="AO46" s="434"/>
      <c r="AP46" s="434" t="str">
        <f t="shared" si="1"/>
        <v xml:space="preserve">Источник тепловой энергии  </v>
      </c>
      <c r="AQ46" s="434"/>
      <c r="AR46" s="434"/>
      <c r="AS46" s="1079">
        <v>21</v>
      </c>
    </row>
    <row r="47" spans="1:45" s="1566" customFormat="1" ht="0" hidden="1" customHeight="1">
      <c r="A47" s="1267" t="s">
        <v>396</v>
      </c>
      <c r="B47" s="1267" t="s">
        <v>397</v>
      </c>
      <c r="C47" s="1267" t="s">
        <v>398</v>
      </c>
      <c r="D47" s="1267" t="s">
        <v>399</v>
      </c>
      <c r="E47" s="4034"/>
      <c r="F47" s="4034"/>
      <c r="G47" s="4034"/>
      <c r="H47" s="4034"/>
      <c r="I47" s="4035" t="str">
        <f>S46&amp;".1"</f>
        <v>....1</v>
      </c>
      <c r="J47" s="1267"/>
      <c r="K47" s="1267"/>
      <c r="L47" s="1270" t="s">
        <v>611</v>
      </c>
      <c r="M47" s="444"/>
      <c r="N47" s="444"/>
      <c r="O47" s="444"/>
      <c r="P47" s="4037">
        <v>1</v>
      </c>
      <c r="Q47" s="1255"/>
      <c r="R47" s="290"/>
      <c r="S47" s="969"/>
      <c r="T47" s="1307"/>
      <c r="U47" s="1308"/>
      <c r="V47" s="4064"/>
      <c r="W47" s="4065"/>
      <c r="X47" s="4065"/>
      <c r="Y47" s="4065"/>
      <c r="Z47" s="4065"/>
      <c r="AA47" s="4065"/>
      <c r="AB47" s="4065"/>
      <c r="AC47" s="4066"/>
      <c r="AD47" s="4064"/>
      <c r="AE47" s="4065"/>
      <c r="AF47" s="4065"/>
      <c r="AG47" s="4065"/>
      <c r="AH47" s="4065"/>
      <c r="AI47" s="4065"/>
      <c r="AJ47" s="4065"/>
      <c r="AK47" s="4065"/>
      <c r="AL47" s="4066"/>
      <c r="AM47" s="1309"/>
      <c r="AO47" s="434"/>
      <c r="AP47" s="434" t="str">
        <f t="shared" si="1"/>
        <v/>
      </c>
      <c r="AQ47" s="434"/>
      <c r="AR47" s="434"/>
      <c r="AS47" s="445">
        <v>0</v>
      </c>
    </row>
    <row r="48" spans="1:45" ht="21.95" customHeight="1">
      <c r="A48" s="1287" t="s">
        <v>396</v>
      </c>
      <c r="B48" s="1287" t="s">
        <v>397</v>
      </c>
      <c r="C48" s="1287" t="s">
        <v>398</v>
      </c>
      <c r="D48" s="1287" t="s">
        <v>399</v>
      </c>
      <c r="E48" s="4034"/>
      <c r="F48" s="4034"/>
      <c r="G48" s="4034"/>
      <c r="H48" s="4034"/>
      <c r="I48" s="4036"/>
      <c r="J48" s="4035" t="str">
        <f>S46&amp;".1"</f>
        <v>....1</v>
      </c>
      <c r="K48" s="1287"/>
      <c r="L48" s="1288" t="s">
        <v>614</v>
      </c>
      <c r="P48" s="4037"/>
      <c r="Q48" s="4037">
        <v>1</v>
      </c>
      <c r="R48" s="291"/>
      <c r="S48" s="1260" t="str">
        <f>$J48</f>
        <v>....1</v>
      </c>
      <c r="T48" s="221" t="s">
        <v>615</v>
      </c>
      <c r="U48" s="235"/>
      <c r="V48" s="4021"/>
      <c r="W48" s="4022"/>
      <c r="X48" s="4022"/>
      <c r="Y48" s="4022"/>
      <c r="Z48" s="4022"/>
      <c r="AA48" s="4022"/>
      <c r="AB48" s="4022"/>
      <c r="AC48" s="4023"/>
      <c r="AD48" s="4021"/>
      <c r="AE48" s="4022"/>
      <c r="AF48" s="4022"/>
      <c r="AG48" s="4022"/>
      <c r="AH48" s="4022"/>
      <c r="AI48" s="4022"/>
      <c r="AJ48" s="4022"/>
      <c r="AK48" s="4022"/>
      <c r="AL48" s="4023"/>
      <c r="AM48" s="1182" t="s">
        <v>616</v>
      </c>
      <c r="AO48" s="434"/>
      <c r="AP48" s="434" t="str">
        <f t="shared" si="1"/>
        <v>Группа потребителей</v>
      </c>
      <c r="AQ48" s="434"/>
      <c r="AR48" s="434"/>
      <c r="AS48" s="1079">
        <v>21</v>
      </c>
    </row>
    <row r="49" spans="1:45" ht="21.95" customHeight="1">
      <c r="A49" s="1287" t="s">
        <v>396</v>
      </c>
      <c r="B49" s="1287" t="s">
        <v>397</v>
      </c>
      <c r="C49" s="1287" t="s">
        <v>398</v>
      </c>
      <c r="D49" s="1287" t="s">
        <v>399</v>
      </c>
      <c r="E49" s="4034"/>
      <c r="F49" s="4034"/>
      <c r="G49" s="4034"/>
      <c r="H49" s="4034"/>
      <c r="I49" s="4036"/>
      <c r="J49" s="4036"/>
      <c r="K49" s="4035" t="str">
        <f>J48&amp;".1"</f>
        <v>....1.1</v>
      </c>
      <c r="L49" s="1288" t="s">
        <v>617</v>
      </c>
      <c r="P49" s="4037"/>
      <c r="Q49" s="4037"/>
      <c r="R49" s="291">
        <v>1</v>
      </c>
      <c r="S49" s="1260" t="str">
        <f>$K49</f>
        <v>....1.1</v>
      </c>
      <c r="T49" s="1271"/>
      <c r="U49" s="235"/>
      <c r="V49" s="685"/>
      <c r="W49" s="260"/>
      <c r="X49" s="685"/>
      <c r="Y49" s="1181"/>
      <c r="Z49" s="4038"/>
      <c r="AA49" s="3899" t="s">
        <v>53</v>
      </c>
      <c r="AB49" s="4038"/>
      <c r="AC49" s="3899" t="s">
        <v>53</v>
      </c>
      <c r="AD49" s="685"/>
      <c r="AE49" s="260"/>
      <c r="AF49" s="685"/>
      <c r="AG49" s="1181"/>
      <c r="AH49" s="4038"/>
      <c r="AI49" s="3899" t="s">
        <v>53</v>
      </c>
      <c r="AJ49" s="4040"/>
      <c r="AK49" s="3899" t="s">
        <v>53</v>
      </c>
      <c r="AL49" s="1272"/>
      <c r="AM49" s="4056" t="s">
        <v>657</v>
      </c>
      <c r="AN49" s="445" t="e">
        <f ca="1">STRCHECKDATE(V50:AL50)</f>
        <v>#NAME?</v>
      </c>
      <c r="AO49" s="434"/>
      <c r="AP49" s="434" t="str">
        <f t="shared" si="1"/>
        <v/>
      </c>
      <c r="AQ49" s="434"/>
      <c r="AR49" s="434"/>
      <c r="AS49" s="1079">
        <v>21</v>
      </c>
    </row>
    <row r="50" spans="1:45" ht="0" hidden="1" customHeight="1">
      <c r="A50" s="1287" t="s">
        <v>396</v>
      </c>
      <c r="B50" s="1287" t="s">
        <v>397</v>
      </c>
      <c r="C50" s="1287" t="s">
        <v>398</v>
      </c>
      <c r="D50" s="1287" t="s">
        <v>399</v>
      </c>
      <c r="E50" s="4034"/>
      <c r="F50" s="4034"/>
      <c r="G50" s="4034"/>
      <c r="H50" s="4034"/>
      <c r="I50" s="4036"/>
      <c r="J50" s="4036"/>
      <c r="K50" s="4035"/>
      <c r="L50" s="1288"/>
      <c r="P50" s="4037"/>
      <c r="Q50" s="4037"/>
      <c r="R50" s="291"/>
      <c r="S50" s="1266"/>
      <c r="T50" s="235"/>
      <c r="U50" s="235"/>
      <c r="V50" s="260"/>
      <c r="W50" s="260"/>
      <c r="X50" s="260"/>
      <c r="Y50" s="263" t="str">
        <f>Z49&amp;"-"&amp;AB49</f>
        <v>-</v>
      </c>
      <c r="Z50" s="4039"/>
      <c r="AA50" s="3899"/>
      <c r="AB50" s="4039"/>
      <c r="AC50" s="3899"/>
      <c r="AD50" s="260"/>
      <c r="AE50" s="260"/>
      <c r="AF50" s="260"/>
      <c r="AG50" s="263" t="str">
        <f>AH49&amp;"-"&amp;AJ49</f>
        <v>-</v>
      </c>
      <c r="AH50" s="4039"/>
      <c r="AI50" s="3899"/>
      <c r="AJ50" s="4041"/>
      <c r="AK50" s="3899"/>
      <c r="AL50" s="1273"/>
      <c r="AM50" s="4057"/>
      <c r="AO50" s="434"/>
      <c r="AP50" s="434" t="str">
        <f t="shared" si="1"/>
        <v/>
      </c>
      <c r="AQ50" s="434"/>
      <c r="AR50" s="434"/>
      <c r="AS50" s="1079">
        <v>0</v>
      </c>
    </row>
    <row r="51" spans="1:45" ht="11.45" customHeight="1">
      <c r="A51" s="1287" t="s">
        <v>396</v>
      </c>
      <c r="B51" s="1287" t="s">
        <v>397</v>
      </c>
      <c r="C51" s="1287" t="s">
        <v>398</v>
      </c>
      <c r="D51" s="1287" t="s">
        <v>399</v>
      </c>
      <c r="E51" s="4034"/>
      <c r="F51" s="4034"/>
      <c r="G51" s="4034"/>
      <c r="H51" s="4034"/>
      <c r="I51" s="4036"/>
      <c r="J51" s="4035"/>
      <c r="K51" s="1287"/>
      <c r="L51" s="1288"/>
      <c r="P51" s="4037"/>
      <c r="Q51" s="4037"/>
      <c r="R51" s="290"/>
      <c r="S51" s="1202"/>
      <c r="T51" s="222" t="s">
        <v>619</v>
      </c>
      <c r="U51" s="301"/>
      <c r="V51" s="301"/>
      <c r="W51" s="301"/>
      <c r="X51" s="301"/>
      <c r="Y51" s="301"/>
      <c r="Z51" s="301"/>
      <c r="AA51" s="301"/>
      <c r="AB51" s="301"/>
      <c r="AC51" s="301"/>
      <c r="AD51" s="301"/>
      <c r="AE51" s="301"/>
      <c r="AF51" s="301"/>
      <c r="AG51" s="301"/>
      <c r="AH51" s="301"/>
      <c r="AI51" s="301"/>
      <c r="AJ51" s="301"/>
      <c r="AK51" s="301"/>
      <c r="AL51" s="259"/>
      <c r="AM51" s="4058"/>
      <c r="AO51" s="434"/>
      <c r="AP51" s="434" t="str">
        <f t="shared" si="1"/>
        <v>Добавить вид теплоносителя (параметры теплоносителя)</v>
      </c>
      <c r="AQ51" s="434"/>
      <c r="AR51" s="434"/>
      <c r="AS51" s="1079">
        <v>11</v>
      </c>
    </row>
    <row r="52" spans="1:45" ht="11.45" customHeight="1">
      <c r="A52" s="1287" t="s">
        <v>396</v>
      </c>
      <c r="B52" s="1287" t="s">
        <v>397</v>
      </c>
      <c r="C52" s="1287" t="s">
        <v>398</v>
      </c>
      <c r="D52" s="1287" t="s">
        <v>399</v>
      </c>
      <c r="E52" s="4034"/>
      <c r="F52" s="4034"/>
      <c r="G52" s="4034"/>
      <c r="H52" s="4034"/>
      <c r="I52" s="4035"/>
      <c r="J52" s="1287"/>
      <c r="K52" s="1287"/>
      <c r="L52" s="1288"/>
      <c r="P52" s="4037"/>
      <c r="Q52" s="1255"/>
      <c r="R52" s="290"/>
      <c r="S52" s="1202"/>
      <c r="T52" s="299" t="s">
        <v>620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9">
        <v>11</v>
      </c>
    </row>
    <row r="53" spans="1:45" ht="0" hidden="1" customHeight="1">
      <c r="A53" s="1287" t="s">
        <v>396</v>
      </c>
      <c r="B53" s="1287" t="s">
        <v>397</v>
      </c>
      <c r="C53" s="1287" t="s">
        <v>398</v>
      </c>
      <c r="D53" s="1287" t="s">
        <v>399</v>
      </c>
      <c r="E53" s="4034"/>
      <c r="F53" s="4034"/>
      <c r="G53" s="4034"/>
      <c r="H53" s="4033"/>
      <c r="I53" s="1287"/>
      <c r="J53" s="1287"/>
      <c r="K53" s="1287"/>
      <c r="L53" s="1288"/>
      <c r="M53" s="1289"/>
      <c r="N53" s="1289"/>
      <c r="O53" s="471"/>
      <c r="P53" s="294"/>
      <c r="Q53" s="309"/>
      <c r="R53" s="289"/>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4"/>
      <c r="AP53" s="434" t="str">
        <f t="shared" si="1"/>
        <v/>
      </c>
      <c r="AQ53" s="434"/>
      <c r="AR53" s="434"/>
      <c r="AS53" s="1079">
        <v>0</v>
      </c>
    </row>
    <row r="54" spans="1:45" s="1566" customFormat="1" ht="0" hidden="1" customHeight="1">
      <c r="A54" s="1267" t="s">
        <v>396</v>
      </c>
      <c r="B54" s="1267" t="s">
        <v>397</v>
      </c>
      <c r="C54" s="1267" t="s">
        <v>398</v>
      </c>
      <c r="D54" s="1238"/>
      <c r="E54" s="4034"/>
      <c r="F54" s="4034"/>
      <c r="G54" s="4033"/>
      <c r="H54" s="1238"/>
      <c r="I54" s="1238"/>
      <c r="J54" s="1238"/>
      <c r="K54" s="1238"/>
      <c r="L54" s="1263"/>
      <c r="M54" s="1239"/>
      <c r="N54" s="1239"/>
      <c r="P54" s="1240"/>
      <c r="Q54" s="1241"/>
      <c r="R54" s="1240"/>
      <c r="S54" s="1246"/>
      <c r="T54" s="1249" t="s">
        <v>235</v>
      </c>
      <c r="U54" s="1248"/>
      <c r="V54" s="1248"/>
      <c r="W54" s="1248"/>
      <c r="X54" s="1248"/>
      <c r="Y54" s="1248"/>
      <c r="Z54" s="1248"/>
      <c r="AA54" s="1248"/>
      <c r="AB54" s="1248"/>
      <c r="AC54" s="1248"/>
      <c r="AD54" s="1248"/>
      <c r="AE54" s="1248"/>
      <c r="AF54" s="1248"/>
      <c r="AG54" s="1248"/>
      <c r="AH54" s="1248"/>
      <c r="AI54" s="1248"/>
      <c r="AJ54" s="1248"/>
      <c r="AK54" s="1248"/>
      <c r="AL54" s="1248"/>
      <c r="AM54" s="1248"/>
      <c r="AO54" s="717"/>
      <c r="AP54" s="717" t="str">
        <f t="shared" si="1"/>
        <v>Добавить источник для дифференциации</v>
      </c>
      <c r="AQ54" s="717"/>
      <c r="AR54" s="717"/>
      <c r="AS54" s="452">
        <v>0</v>
      </c>
    </row>
    <row r="55" spans="1:45" s="1566" customFormat="1" ht="0" hidden="1" customHeight="1">
      <c r="A55" s="1267" t="s">
        <v>396</v>
      </c>
      <c r="B55" s="1267" t="s">
        <v>397</v>
      </c>
      <c r="C55" s="1238"/>
      <c r="D55" s="1238"/>
      <c r="E55" s="4034"/>
      <c r="F55" s="4033"/>
      <c r="G55" s="1238"/>
      <c r="H55" s="1238"/>
      <c r="I55" s="1238"/>
      <c r="J55" s="1238"/>
      <c r="K55" s="1238"/>
      <c r="L55" s="1263"/>
      <c r="M55" s="1245"/>
      <c r="N55" s="1245"/>
      <c r="P55" s="1240"/>
      <c r="Q55" s="1241"/>
      <c r="R55" s="1240"/>
      <c r="S55" s="1246"/>
      <c r="T55" s="1249" t="s">
        <v>236</v>
      </c>
      <c r="U55" s="1248"/>
      <c r="V55" s="1248"/>
      <c r="W55" s="1248"/>
      <c r="X55" s="1248"/>
      <c r="Y55" s="1248"/>
      <c r="Z55" s="1248"/>
      <c r="AA55" s="1248"/>
      <c r="AB55" s="1248"/>
      <c r="AC55" s="1248"/>
      <c r="AD55" s="1248"/>
      <c r="AE55" s="1248"/>
      <c r="AF55" s="1248"/>
      <c r="AG55" s="1248"/>
      <c r="AH55" s="1248"/>
      <c r="AI55" s="1248"/>
      <c r="AJ55" s="1248"/>
      <c r="AK55" s="1248"/>
      <c r="AL55" s="1248"/>
      <c r="AM55" s="1248"/>
      <c r="AO55" s="717"/>
      <c r="AP55" s="717" t="str">
        <f t="shared" si="1"/>
        <v>Добавить централизованную систему для дифференциации</v>
      </c>
      <c r="AQ55" s="717"/>
      <c r="AR55" s="717"/>
      <c r="AS55" s="452">
        <v>0</v>
      </c>
    </row>
    <row r="56" spans="1:45" s="1566" customFormat="1" ht="0" hidden="1" customHeight="1">
      <c r="A56" s="1267" t="s">
        <v>396</v>
      </c>
      <c r="B56" s="1267"/>
      <c r="C56" s="1267"/>
      <c r="D56" s="1267"/>
      <c r="E56" s="4033"/>
      <c r="F56" s="1267"/>
      <c r="G56" s="1267"/>
      <c r="H56" s="1267"/>
      <c r="I56" s="1267"/>
      <c r="J56" s="1267"/>
      <c r="K56" s="1267"/>
      <c r="L56" s="1270"/>
      <c r="M56" s="1245"/>
      <c r="N56" s="1245"/>
      <c r="O56" s="452"/>
      <c r="P56" s="314"/>
      <c r="Q56" s="1268"/>
      <c r="R56" s="314"/>
      <c r="S56" s="1246"/>
      <c r="T56" s="1249" t="s">
        <v>286</v>
      </c>
      <c r="U56" s="1248"/>
      <c r="V56" s="1248"/>
      <c r="W56" s="1248"/>
      <c r="X56" s="1248"/>
      <c r="Y56" s="1248"/>
      <c r="Z56" s="1248"/>
      <c r="AA56" s="1248"/>
      <c r="AB56" s="1248"/>
      <c r="AC56" s="1248"/>
      <c r="AD56" s="1248"/>
      <c r="AE56" s="1248"/>
      <c r="AF56" s="1248"/>
      <c r="AG56" s="1248"/>
      <c r="AH56" s="1248"/>
      <c r="AI56" s="1248"/>
      <c r="AJ56" s="1248"/>
      <c r="AK56" s="1248"/>
      <c r="AL56" s="1248"/>
      <c r="AM56" s="1248"/>
      <c r="AO56" s="434"/>
      <c r="AP56" s="434" t="str">
        <f t="shared" si="1"/>
        <v>Добавить территорию для дифференциации</v>
      </c>
      <c r="AQ56" s="434"/>
      <c r="AR56" s="434"/>
      <c r="AS56" s="445">
        <v>0</v>
      </c>
    </row>
    <row r="57" spans="1:45" s="1566" customFormat="1" ht="4.1500000000000004" customHeight="1">
      <c r="A57" s="1238"/>
      <c r="B57" s="1238"/>
      <c r="C57" s="1238"/>
      <c r="D57" s="1238"/>
      <c r="E57" s="1267"/>
      <c r="F57" s="1238"/>
      <c r="G57" s="1238"/>
      <c r="H57" s="1238"/>
      <c r="I57" s="1238"/>
      <c r="J57" s="1238"/>
      <c r="K57" s="1238"/>
      <c r="L57" s="1263"/>
      <c r="M57" s="1245"/>
      <c r="N57" s="1245"/>
      <c r="P57" s="1240"/>
      <c r="Q57" s="1241"/>
      <c r="R57" s="1240"/>
      <c r="S57" s="1246"/>
      <c r="T57" s="1249" t="s">
        <v>287</v>
      </c>
      <c r="U57" s="1248"/>
      <c r="V57" s="1248"/>
      <c r="W57" s="1248"/>
      <c r="X57" s="1248"/>
      <c r="Y57" s="1248"/>
      <c r="Z57" s="1248"/>
      <c r="AA57" s="1248"/>
      <c r="AB57" s="1248"/>
      <c r="AC57" s="1248"/>
      <c r="AD57" s="1248"/>
      <c r="AE57" s="1248"/>
      <c r="AF57" s="1248"/>
      <c r="AG57" s="1248"/>
      <c r="AH57" s="1248"/>
      <c r="AI57" s="1248"/>
      <c r="AJ57" s="1248"/>
      <c r="AK57" s="1248"/>
      <c r="AL57" s="1248"/>
      <c r="AM57" s="1248"/>
      <c r="AO57" s="717"/>
      <c r="AP57" s="717" t="str">
        <f t="shared" si="1"/>
        <v>Добавить наименование тарифа</v>
      </c>
      <c r="AQ57" s="717"/>
      <c r="AR57" s="717"/>
      <c r="AS57" s="452">
        <v>4</v>
      </c>
    </row>
    <row r="58" spans="1:45" ht="11.45" customHeight="1">
      <c r="M58" s="1084"/>
      <c r="N58" s="1084"/>
      <c r="O58" s="471"/>
      <c r="P58" s="1079"/>
      <c r="Q58" s="1079"/>
      <c r="R58" s="1079"/>
      <c r="S58" s="1079"/>
      <c r="AN58" s="1079"/>
      <c r="AO58" s="1079"/>
      <c r="AP58" s="1079"/>
      <c r="AQ58" s="1079"/>
      <c r="AR58" s="1079"/>
      <c r="AS58" s="1079">
        <v>11</v>
      </c>
    </row>
    <row r="59" spans="1:45" ht="14.65" customHeight="1">
      <c r="O59" s="471"/>
      <c r="S59" s="1177"/>
      <c r="T59" s="4032"/>
      <c r="U59" s="4032"/>
      <c r="V59" s="4032"/>
      <c r="W59" s="4032"/>
      <c r="X59" s="4032"/>
      <c r="Y59" s="4032"/>
      <c r="Z59" s="4032"/>
      <c r="AA59" s="4032"/>
      <c r="AB59" s="4032"/>
      <c r="AC59" s="4032"/>
      <c r="AD59" s="4032"/>
      <c r="AE59" s="4032"/>
      <c r="AF59" s="4032"/>
      <c r="AG59" s="4032"/>
      <c r="AH59" s="4032"/>
      <c r="AI59" s="4032"/>
      <c r="AJ59" s="4032"/>
      <c r="AK59" s="4032"/>
      <c r="AL59" s="4032"/>
      <c r="AM59" s="4032"/>
      <c r="AS59" s="1079">
        <v>14</v>
      </c>
    </row>
    <row r="60" spans="1:45" ht="14.65" customHeight="1">
      <c r="O60" s="471"/>
      <c r="T60" s="4032"/>
      <c r="U60" s="4032"/>
      <c r="V60" s="4032"/>
      <c r="W60" s="4032"/>
      <c r="X60" s="4032"/>
      <c r="Y60" s="4032"/>
      <c r="Z60" s="4032"/>
      <c r="AA60" s="4032"/>
      <c r="AB60" s="4032"/>
      <c r="AC60" s="4032"/>
      <c r="AD60" s="4032"/>
      <c r="AE60" s="4032"/>
      <c r="AF60" s="4032"/>
      <c r="AG60" s="4032"/>
      <c r="AH60" s="4032"/>
      <c r="AI60" s="4032"/>
      <c r="AJ60" s="4032"/>
      <c r="AK60" s="4032"/>
      <c r="AL60" s="4032"/>
      <c r="AM60" s="4032"/>
      <c r="AS60" s="1079">
        <v>14</v>
      </c>
    </row>
    <row r="61" spans="1:45" ht="14.65" customHeight="1">
      <c r="O61" s="471"/>
      <c r="T61" s="4032"/>
      <c r="U61" s="4032"/>
      <c r="V61" s="4032"/>
      <c r="W61" s="4032"/>
      <c r="X61" s="4032"/>
      <c r="Y61" s="4032"/>
      <c r="Z61" s="4032"/>
      <c r="AA61" s="4032"/>
      <c r="AB61" s="4032"/>
      <c r="AC61" s="4032"/>
      <c r="AD61" s="4032"/>
      <c r="AE61" s="4032"/>
      <c r="AF61" s="4032"/>
      <c r="AG61" s="4032"/>
      <c r="AH61" s="4032"/>
      <c r="AI61" s="4032"/>
      <c r="AJ61" s="4032"/>
      <c r="AK61" s="4032"/>
      <c r="AL61" s="4032"/>
      <c r="AM61" s="4032"/>
      <c r="AS61" s="1079">
        <v>14</v>
      </c>
    </row>
    <row r="62" spans="1:45" ht="14.65" customHeight="1">
      <c r="O62" s="471"/>
      <c r="AS62" s="1079">
        <v>14</v>
      </c>
    </row>
    <row r="63" spans="1:45" ht="14.65" customHeight="1">
      <c r="O63" s="471"/>
      <c r="S63" s="1177"/>
      <c r="T63" s="3929"/>
      <c r="U63" s="4032"/>
      <c r="V63" s="4032"/>
      <c r="W63" s="4032"/>
      <c r="X63" s="4032"/>
      <c r="Y63" s="4032"/>
      <c r="Z63" s="4032"/>
      <c r="AA63" s="4032"/>
      <c r="AB63" s="4032"/>
      <c r="AC63" s="4032"/>
      <c r="AD63" s="4032"/>
      <c r="AE63" s="4032"/>
      <c r="AF63" s="4032"/>
      <c r="AG63" s="4032"/>
      <c r="AH63" s="4032"/>
      <c r="AI63" s="4032"/>
      <c r="AJ63" s="4032"/>
      <c r="AK63" s="4032"/>
      <c r="AL63" s="4032"/>
      <c r="AM63" s="4032"/>
      <c r="AS63" s="1079">
        <v>14</v>
      </c>
    </row>
    <row r="64" spans="1:45" ht="14.65" customHeight="1">
      <c r="O64" s="471"/>
      <c r="T64" s="4032"/>
      <c r="U64" s="4032"/>
      <c r="V64" s="4032"/>
      <c r="W64" s="4032"/>
      <c r="X64" s="4032"/>
      <c r="Y64" s="4032"/>
      <c r="Z64" s="4032"/>
      <c r="AA64" s="4032"/>
      <c r="AB64" s="4032"/>
      <c r="AC64" s="4032"/>
      <c r="AD64" s="4032"/>
      <c r="AE64" s="4032"/>
      <c r="AF64" s="4032"/>
      <c r="AG64" s="4032"/>
      <c r="AH64" s="4032"/>
      <c r="AI64" s="4032"/>
      <c r="AJ64" s="4032"/>
      <c r="AK64" s="4032"/>
      <c r="AL64" s="4032"/>
      <c r="AM64" s="4032"/>
      <c r="AS64" s="1079">
        <v>14</v>
      </c>
    </row>
    <row r="65" spans="1:45" ht="14.65" customHeight="1">
      <c r="T65" s="4032"/>
      <c r="U65" s="4032"/>
      <c r="V65" s="4032"/>
      <c r="W65" s="4032"/>
      <c r="X65" s="4032"/>
      <c r="Y65" s="4032"/>
      <c r="Z65" s="4032"/>
      <c r="AA65" s="4032"/>
      <c r="AB65" s="4032"/>
      <c r="AC65" s="4032"/>
      <c r="AD65" s="4032"/>
      <c r="AE65" s="4032"/>
      <c r="AF65" s="4032"/>
      <c r="AG65" s="4032"/>
      <c r="AH65" s="4032"/>
      <c r="AI65" s="4032"/>
      <c r="AJ65" s="4032"/>
      <c r="AK65" s="4032"/>
      <c r="AL65" s="4032"/>
      <c r="AM65" s="4032"/>
      <c r="AS65" s="1079">
        <v>14</v>
      </c>
    </row>
    <row r="66" spans="1:45" ht="22.5" hidden="1" customHeight="1">
      <c r="A66" s="1084" t="s">
        <v>69</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79">
        <v>3</v>
      </c>
      <c r="R66" s="279">
        <v>3</v>
      </c>
      <c r="S66" s="515">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5">
        <v>10</v>
      </c>
      <c r="AO66" s="445">
        <v>10</v>
      </c>
      <c r="AP66" s="445">
        <v>10</v>
      </c>
      <c r="AQ66" s="445">
        <v>10</v>
      </c>
      <c r="AR66" s="445">
        <v>10</v>
      </c>
      <c r="AS66" s="1079">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52" activePane="bottomRight" state="frozen"/>
      <selection pane="topRight" activeCell="AG1" sqref="AG1"/>
      <selection pane="bottomLeft" activeCell="A49" sqref="A49"/>
      <selection pane="bottomRight" activeCell="AH55" sqref="AH55"/>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2" width="11.42578125" style="1559" hidden="1" customWidth="1"/>
    <col min="13" max="13" width="19.140625" style="1970" hidden="1" customWidth="1"/>
    <col min="14" max="15" width="12.28515625" style="1975" hidden="1" customWidth="1"/>
    <col min="16" max="16" width="23.42578125" style="1975" hidden="1" customWidth="1"/>
    <col min="17" max="17" width="3.7109375" style="1975" hidden="1" customWidth="1"/>
    <col min="18" max="20" width="3" style="279" customWidth="1"/>
    <col min="21" max="21" width="12" style="1976" customWidth="1"/>
    <col min="22" max="22" width="31" style="1559" customWidth="1"/>
    <col min="23" max="23" width="0.140625" style="1559" customWidth="1"/>
    <col min="24" max="28" width="21.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21.7109375" style="1559" customWidth="1"/>
    <col min="34" max="37" width="21" style="1559" customWidth="1"/>
    <col min="38" max="38" width="11" style="1559" customWidth="1"/>
    <col min="39" max="39" width="3.7109375" style="1559" customWidth="1"/>
    <col min="40" max="40" width="11" style="1559" customWidth="1"/>
    <col min="41" max="41" width="8.5703125" style="1559" hidden="1" customWidth="1"/>
    <col min="42" max="42" width="4" style="1559" customWidth="1"/>
    <col min="43" max="43" width="115" style="1559" customWidth="1"/>
    <col min="44" max="48" width="10" style="1566" customWidth="1"/>
    <col min="49" max="49" width="10.5703125" style="1559" hidden="1"/>
  </cols>
  <sheetData>
    <row r="1" spans="1:49" ht="22.5" hidden="1" customHeight="1">
      <c r="AB1" s="262"/>
      <c r="AC1" s="262"/>
      <c r="AK1" s="262"/>
      <c r="AL1" s="262"/>
      <c r="AW1" s="1079" t="s">
        <v>1</v>
      </c>
    </row>
    <row r="2" spans="1:49" ht="21" hidden="1" customHeight="1">
      <c r="A2" s="1191"/>
      <c r="B2" s="1191"/>
      <c r="C2" s="1191"/>
      <c r="D2" s="1191"/>
      <c r="E2" s="4059">
        <v>1</v>
      </c>
      <c r="F2" s="1191"/>
      <c r="G2" s="1191"/>
      <c r="H2" s="1191"/>
      <c r="I2" s="1191"/>
      <c r="J2" s="1191"/>
      <c r="K2" s="1191"/>
      <c r="L2" s="1191"/>
      <c r="M2" s="1234"/>
      <c r="N2" s="622"/>
      <c r="O2" s="622"/>
      <c r="P2" s="622"/>
      <c r="Q2" s="295"/>
      <c r="R2" s="294"/>
      <c r="S2" s="294"/>
      <c r="T2" s="289"/>
      <c r="U2" s="1260" t="e">
        <f>INDEX(PT_DIFFERENTIATION_NUM_NTAR,MATCH(A2,PT_DIFFERENTIATION_NTAR_ID,0))</f>
        <v>#N/A</v>
      </c>
      <c r="V2" s="233" t="s">
        <v>195</v>
      </c>
      <c r="W2" s="235"/>
      <c r="X2" s="4027"/>
      <c r="Y2" s="4028"/>
      <c r="Z2" s="4028"/>
      <c r="AA2" s="4028"/>
      <c r="AB2" s="4028"/>
      <c r="AC2" s="4028"/>
      <c r="AD2" s="4028"/>
      <c r="AE2" s="4028"/>
      <c r="AF2" s="4029"/>
      <c r="AG2" s="4027" t="e">
        <f>INDEX(PT_DIFFERENTIATION_NTAR,MATCH(A2,PT_DIFFERENTIATION_NTAR_ID,0))</f>
        <v>#N/A</v>
      </c>
      <c r="AH2" s="4028"/>
      <c r="AI2" s="4028"/>
      <c r="AJ2" s="4028"/>
      <c r="AK2" s="4028"/>
      <c r="AL2" s="4028"/>
      <c r="AM2" s="4028"/>
      <c r="AN2" s="4028"/>
      <c r="AO2" s="4028"/>
      <c r="AP2" s="4029"/>
      <c r="AQ2" s="1182" t="s">
        <v>604</v>
      </c>
      <c r="AS2" s="434"/>
      <c r="AT2" s="434" t="str">
        <f t="shared" ref="AT2:AT8" si="0">IF(V2="","",V2)</f>
        <v>Наименование тарифа</v>
      </c>
      <c r="AU2" s="434"/>
      <c r="AV2" s="434"/>
      <c r="AW2" s="1079">
        <v>0</v>
      </c>
    </row>
    <row r="3" spans="1:49" ht="21" hidden="1" customHeight="1">
      <c r="A3" s="1191"/>
      <c r="B3" s="1191"/>
      <c r="C3" s="1191"/>
      <c r="D3" s="1191"/>
      <c r="E3" s="4060"/>
      <c r="F3" s="4059">
        <v>1</v>
      </c>
      <c r="G3" s="1191"/>
      <c r="H3" s="1191"/>
      <c r="I3" s="1191"/>
      <c r="J3" s="1191"/>
      <c r="K3" s="1191"/>
      <c r="L3" s="1191"/>
      <c r="M3" s="1234"/>
      <c r="N3" s="622"/>
      <c r="O3" s="622"/>
      <c r="P3" s="622"/>
      <c r="Q3" s="1256"/>
      <c r="R3" s="286"/>
      <c r="S3" s="443"/>
      <c r="T3" s="287"/>
      <c r="U3" s="1260" t="e">
        <f>INDEX(PT_DIFFERENTIATION_NUM_TER,MATCH(B3,PT_DIFFERENTIATION_TER_ID,0))</f>
        <v>#N/A</v>
      </c>
      <c r="V3" s="243" t="s">
        <v>605</v>
      </c>
      <c r="W3" s="235"/>
      <c r="X3" s="4027"/>
      <c r="Y3" s="4028"/>
      <c r="Z3" s="4028"/>
      <c r="AA3" s="4028"/>
      <c r="AB3" s="4028"/>
      <c r="AC3" s="4028"/>
      <c r="AD3" s="4028"/>
      <c r="AE3" s="4028"/>
      <c r="AF3" s="4029"/>
      <c r="AG3" s="4027" t="e">
        <f>INDEX(PT_DIFFERENTIATION_TER,MATCH(B3,PT_DIFFERENTIATION_TER_ID,0))</f>
        <v>#N/A</v>
      </c>
      <c r="AH3" s="4028"/>
      <c r="AI3" s="4028"/>
      <c r="AJ3" s="4028"/>
      <c r="AK3" s="4028"/>
      <c r="AL3" s="4028"/>
      <c r="AM3" s="4028"/>
      <c r="AN3" s="4028"/>
      <c r="AO3" s="4028"/>
      <c r="AP3" s="4029"/>
      <c r="AQ3" s="1182" t="s">
        <v>606</v>
      </c>
      <c r="AS3" s="434"/>
      <c r="AT3" s="434" t="str">
        <f t="shared" si="0"/>
        <v>Территория действия тарифа</v>
      </c>
      <c r="AU3" s="434"/>
      <c r="AV3" s="434"/>
      <c r="AW3" s="1079">
        <v>0</v>
      </c>
    </row>
    <row r="4" spans="1:49" ht="22.5" hidden="1" customHeight="1">
      <c r="A4" s="1191"/>
      <c r="B4" s="1191"/>
      <c r="C4" s="1191"/>
      <c r="D4" s="1191"/>
      <c r="E4" s="4060"/>
      <c r="F4" s="4060"/>
      <c r="G4" s="4059">
        <v>1</v>
      </c>
      <c r="H4" s="1191"/>
      <c r="I4" s="1191"/>
      <c r="J4" s="1191"/>
      <c r="K4" s="1191"/>
      <c r="L4" s="1191"/>
      <c r="M4" s="1234"/>
      <c r="N4" s="622"/>
      <c r="O4" s="622"/>
      <c r="P4" s="622"/>
      <c r="Q4" s="288"/>
      <c r="R4" s="286"/>
      <c r="S4" s="443"/>
      <c r="T4" s="287"/>
      <c r="U4" s="1260" t="e">
        <f>INDEX(PT_DIFFERENTIATION_NUM_CS,MATCH(C4,PT_DIFFERENTIATION_CS_ID,0))</f>
        <v>#N/A</v>
      </c>
      <c r="V4" s="244" t="s">
        <v>607</v>
      </c>
      <c r="W4" s="235"/>
      <c r="X4" s="4027"/>
      <c r="Y4" s="4028"/>
      <c r="Z4" s="4028"/>
      <c r="AA4" s="4028"/>
      <c r="AB4" s="4028"/>
      <c r="AC4" s="4028"/>
      <c r="AD4" s="4028"/>
      <c r="AE4" s="4028"/>
      <c r="AF4" s="4029"/>
      <c r="AG4" s="4027" t="e">
        <f>INDEX(PT_DIFFERENTIATION_CS,MATCH(C4,PT_DIFFERENTIATION_CS_ID,0))</f>
        <v>#N/A</v>
      </c>
      <c r="AH4" s="4028"/>
      <c r="AI4" s="4028"/>
      <c r="AJ4" s="4028"/>
      <c r="AK4" s="4028"/>
      <c r="AL4" s="4028"/>
      <c r="AM4" s="4028"/>
      <c r="AN4" s="4028"/>
      <c r="AO4" s="4028"/>
      <c r="AP4" s="4029"/>
      <c r="AQ4" s="1182" t="s">
        <v>608</v>
      </c>
      <c r="AS4" s="434"/>
      <c r="AT4" s="434" t="str">
        <f t="shared" si="0"/>
        <v xml:space="preserve">Наименование системы теплоснабжения </v>
      </c>
      <c r="AU4" s="434"/>
      <c r="AV4" s="434"/>
      <c r="AW4" s="1079">
        <v>0</v>
      </c>
    </row>
    <row r="5" spans="1:49" ht="21" hidden="1" customHeight="1">
      <c r="A5" s="1191"/>
      <c r="B5" s="1191"/>
      <c r="C5" s="1191"/>
      <c r="D5" s="1191"/>
      <c r="E5" s="4060"/>
      <c r="F5" s="4060"/>
      <c r="G5" s="4060"/>
      <c r="H5" s="4059">
        <v>1</v>
      </c>
      <c r="I5" s="1191"/>
      <c r="J5" s="1191"/>
      <c r="K5" s="1191"/>
      <c r="L5" s="1191"/>
      <c r="M5" s="1234"/>
      <c r="N5" s="622"/>
      <c r="O5" s="622"/>
      <c r="P5" s="622"/>
      <c r="Q5" s="288"/>
      <c r="R5" s="286"/>
      <c r="S5" s="443"/>
      <c r="T5" s="287"/>
      <c r="U5" s="1260" t="e">
        <f>INDEX(PT_DIFFERENTIATION_NUM_IST_TE,MATCH(D5,PT_DIFFERENTIATION_IST_TE_ID,0))</f>
        <v>#N/A</v>
      </c>
      <c r="V5" s="245" t="s">
        <v>609</v>
      </c>
      <c r="W5" s="235"/>
      <c r="X5" s="4027"/>
      <c r="Y5" s="4028"/>
      <c r="Z5" s="4028"/>
      <c r="AA5" s="4028"/>
      <c r="AB5" s="4028"/>
      <c r="AC5" s="4028"/>
      <c r="AD5" s="4028"/>
      <c r="AE5" s="4028"/>
      <c r="AF5" s="4029"/>
      <c r="AG5" s="4027" t="e">
        <f>INDEX(PT_DIFFERENTIATION_IST_TE,MATCH(D5,PT_DIFFERENTIATION_IST_TE_ID,0))</f>
        <v>#N/A</v>
      </c>
      <c r="AH5" s="4028"/>
      <c r="AI5" s="4028"/>
      <c r="AJ5" s="4028"/>
      <c r="AK5" s="4028"/>
      <c r="AL5" s="4028"/>
      <c r="AM5" s="4028"/>
      <c r="AN5" s="4028"/>
      <c r="AO5" s="4028"/>
      <c r="AP5" s="4029"/>
      <c r="AQ5" s="1182" t="s">
        <v>610</v>
      </c>
      <c r="AS5" s="434"/>
      <c r="AT5" s="434" t="str">
        <f t="shared" si="0"/>
        <v xml:space="preserve">Источник тепловой энергии  </v>
      </c>
      <c r="AU5" s="434"/>
      <c r="AV5" s="434"/>
      <c r="AW5" s="1079">
        <v>0</v>
      </c>
    </row>
    <row r="6" spans="1:49" ht="14.25" hidden="1" customHeight="1">
      <c r="A6" s="1191"/>
      <c r="B6" s="1191"/>
      <c r="C6" s="1191"/>
      <c r="D6" s="1191"/>
      <c r="E6" s="4060"/>
      <c r="F6" s="4060"/>
      <c r="G6" s="4060"/>
      <c r="H6" s="4060"/>
      <c r="I6" s="3889" t="e">
        <f>U5&amp;".1"</f>
        <v>#N/A</v>
      </c>
      <c r="J6" s="1191"/>
      <c r="K6" s="1191"/>
      <c r="L6" s="1191"/>
      <c r="M6" s="1234" t="s">
        <v>611</v>
      </c>
      <c r="N6" s="443"/>
      <c r="Q6" s="4037">
        <v>1</v>
      </c>
      <c r="R6" s="1255"/>
      <c r="S6" s="1255"/>
      <c r="T6" s="290"/>
      <c r="U6" s="969"/>
      <c r="V6" s="1307"/>
      <c r="W6" s="1308"/>
      <c r="X6" s="4064"/>
      <c r="Y6" s="4065"/>
      <c r="Z6" s="4065"/>
      <c r="AA6" s="4065"/>
      <c r="AB6" s="4065"/>
      <c r="AC6" s="4065"/>
      <c r="AD6" s="4065"/>
      <c r="AE6" s="4065"/>
      <c r="AF6" s="4066"/>
      <c r="AG6" s="4064"/>
      <c r="AH6" s="4065"/>
      <c r="AI6" s="4065"/>
      <c r="AJ6" s="4065"/>
      <c r="AK6" s="4065"/>
      <c r="AL6" s="4065"/>
      <c r="AM6" s="4065"/>
      <c r="AN6" s="4065"/>
      <c r="AO6" s="4065"/>
      <c r="AP6" s="4066"/>
      <c r="AQ6" s="1309"/>
      <c r="AS6" s="434"/>
      <c r="AT6" s="434" t="str">
        <f t="shared" si="0"/>
        <v/>
      </c>
      <c r="AU6" s="434"/>
      <c r="AV6" s="434"/>
      <c r="AW6" s="1079">
        <v>0</v>
      </c>
    </row>
    <row r="7" spans="1:49" ht="21" hidden="1" customHeight="1">
      <c r="A7" s="1191"/>
      <c r="B7" s="1191"/>
      <c r="C7" s="1191"/>
      <c r="D7" s="1191"/>
      <c r="E7" s="4060"/>
      <c r="F7" s="4060"/>
      <c r="G7" s="4060"/>
      <c r="H7" s="4060"/>
      <c r="I7" s="3870"/>
      <c r="J7" s="3889" t="e">
        <f>I6&amp;".1"</f>
        <v>#N/A</v>
      </c>
      <c r="K7" s="1191"/>
      <c r="L7" s="1191"/>
      <c r="M7" s="1234" t="s">
        <v>614</v>
      </c>
      <c r="N7" s="443"/>
      <c r="O7" s="262"/>
      <c r="Q7" s="4037"/>
      <c r="R7" s="4037">
        <v>1</v>
      </c>
      <c r="S7" s="452"/>
      <c r="T7" s="291"/>
      <c r="U7" s="1260" t="e">
        <f>$J7</f>
        <v>#N/A</v>
      </c>
      <c r="V7" s="221" t="s">
        <v>615</v>
      </c>
      <c r="W7" s="235"/>
      <c r="X7" s="4021"/>
      <c r="Y7" s="4022"/>
      <c r="Z7" s="4022"/>
      <c r="AA7" s="4022"/>
      <c r="AB7" s="4022"/>
      <c r="AC7" s="4017"/>
      <c r="AD7" s="4017"/>
      <c r="AE7" s="4017"/>
      <c r="AF7" s="4077"/>
      <c r="AG7" s="4021"/>
      <c r="AH7" s="4022"/>
      <c r="AI7" s="4022"/>
      <c r="AJ7" s="4022"/>
      <c r="AK7" s="4022"/>
      <c r="AL7" s="4022"/>
      <c r="AM7" s="4022"/>
      <c r="AN7" s="4022"/>
      <c r="AO7" s="4022"/>
      <c r="AP7" s="4023"/>
      <c r="AQ7" s="1182" t="s">
        <v>616</v>
      </c>
      <c r="AS7" s="434"/>
      <c r="AT7" s="434" t="str">
        <f t="shared" si="0"/>
        <v>Группа потребителей</v>
      </c>
      <c r="AU7" s="434"/>
      <c r="AV7" s="434"/>
      <c r="AW7" s="1079">
        <v>0</v>
      </c>
    </row>
    <row r="8" spans="1:49" ht="21" hidden="1" customHeight="1">
      <c r="A8" s="1191"/>
      <c r="B8" s="1191"/>
      <c r="C8" s="1191"/>
      <c r="D8" s="1191"/>
      <c r="E8" s="4060"/>
      <c r="F8" s="4060"/>
      <c r="G8" s="4060"/>
      <c r="H8" s="4060"/>
      <c r="I8" s="3870"/>
      <c r="J8" s="3870"/>
      <c r="K8" s="3889" t="e">
        <f>J7&amp;".1"</f>
        <v>#N/A</v>
      </c>
      <c r="L8" s="76"/>
      <c r="M8" s="1234" t="s">
        <v>617</v>
      </c>
      <c r="N8" s="443"/>
      <c r="O8" s="262"/>
      <c r="P8" s="262"/>
      <c r="Q8" s="4037"/>
      <c r="R8" s="4037"/>
      <c r="S8" s="4037">
        <v>1</v>
      </c>
      <c r="T8" s="291"/>
      <c r="U8" s="1260" t="e">
        <f>$K8</f>
        <v>#N/A</v>
      </c>
      <c r="V8" s="1271"/>
      <c r="W8" s="235"/>
      <c r="X8" s="685"/>
      <c r="Y8" s="685"/>
      <c r="Z8" s="685"/>
      <c r="AA8" s="685"/>
      <c r="AB8" s="1329"/>
      <c r="AC8" s="4038"/>
      <c r="AD8" s="3899" t="s">
        <v>53</v>
      </c>
      <c r="AE8" s="4038"/>
      <c r="AF8" s="3899" t="s">
        <v>53</v>
      </c>
      <c r="AG8" s="1331"/>
      <c r="AH8" s="685"/>
      <c r="AI8" s="685"/>
      <c r="AJ8" s="685"/>
      <c r="AK8" s="1181"/>
      <c r="AL8" s="4038"/>
      <c r="AM8" s="3899" t="s">
        <v>53</v>
      </c>
      <c r="AN8" s="4038"/>
      <c r="AO8" s="3899" t="s">
        <v>53</v>
      </c>
      <c r="AP8" s="260"/>
      <c r="AQ8" s="1231" t="s">
        <v>661</v>
      </c>
      <c r="AR8" s="445" t="e">
        <f ca="1">STRCHECKDATE(X10:AP10)</f>
        <v>#NAME?</v>
      </c>
      <c r="AS8" s="434"/>
      <c r="AT8" s="434" t="str">
        <f t="shared" si="0"/>
        <v/>
      </c>
      <c r="AU8" s="434"/>
      <c r="AV8" s="434"/>
      <c r="AW8" s="1079">
        <v>0</v>
      </c>
    </row>
    <row r="9" spans="1:49" ht="21" hidden="1" customHeight="1">
      <c r="A9" s="1191"/>
      <c r="B9" s="1191"/>
      <c r="C9" s="1191"/>
      <c r="D9" s="1191"/>
      <c r="E9" s="4060"/>
      <c r="F9" s="4060"/>
      <c r="G9" s="4060"/>
      <c r="H9" s="4060"/>
      <c r="I9" s="3870"/>
      <c r="J9" s="3870"/>
      <c r="K9" s="3870"/>
      <c r="L9" s="3889" t="e">
        <f>K8&amp;".1"</f>
        <v>#N/A</v>
      </c>
      <c r="M9" s="1234"/>
      <c r="N9" s="443"/>
      <c r="O9" s="262"/>
      <c r="P9" s="262"/>
      <c r="Q9" s="4037"/>
      <c r="R9" s="4037"/>
      <c r="S9" s="4037"/>
      <c r="T9" s="291"/>
      <c r="U9" s="1260" t="e">
        <f>$L9</f>
        <v>#N/A</v>
      </c>
      <c r="V9" s="1315"/>
      <c r="W9" s="235"/>
      <c r="X9" s="260"/>
      <c r="Y9" s="685"/>
      <c r="Z9" s="685"/>
      <c r="AA9" s="685"/>
      <c r="AB9" s="1329"/>
      <c r="AC9" s="4039"/>
      <c r="AD9" s="3899"/>
      <c r="AE9" s="4039"/>
      <c r="AF9" s="3899"/>
      <c r="AG9" s="1331"/>
      <c r="AH9" s="685"/>
      <c r="AI9" s="685"/>
      <c r="AJ9" s="685"/>
      <c r="AK9" s="1181"/>
      <c r="AL9" s="4039"/>
      <c r="AM9" s="3899"/>
      <c r="AN9" s="4039"/>
      <c r="AO9" s="3899"/>
      <c r="AP9" s="260"/>
      <c r="AQ9" s="4056" t="s">
        <v>662</v>
      </c>
      <c r="AS9" s="434"/>
      <c r="AT9" s="434"/>
      <c r="AU9" s="434"/>
      <c r="AV9" s="434"/>
      <c r="AW9" s="1079">
        <v>0</v>
      </c>
    </row>
    <row r="10" spans="1:49" ht="14.25" hidden="1" customHeight="1">
      <c r="A10" s="1191"/>
      <c r="B10" s="1191"/>
      <c r="C10" s="1191"/>
      <c r="D10" s="1191"/>
      <c r="E10" s="4060"/>
      <c r="F10" s="4060"/>
      <c r="G10" s="4060"/>
      <c r="H10" s="4060"/>
      <c r="I10" s="3870"/>
      <c r="J10" s="3870"/>
      <c r="K10" s="3870"/>
      <c r="L10" s="3889"/>
      <c r="M10" s="1234"/>
      <c r="N10" s="443"/>
      <c r="O10" s="262"/>
      <c r="P10" s="262"/>
      <c r="Q10" s="4037"/>
      <c r="R10" s="4037"/>
      <c r="S10" s="4037"/>
      <c r="T10" s="291"/>
      <c r="U10" s="1266"/>
      <c r="V10" s="235"/>
      <c r="W10" s="235"/>
      <c r="X10" s="260"/>
      <c r="Y10" s="260"/>
      <c r="Z10" s="260"/>
      <c r="AA10" s="260"/>
      <c r="AB10" s="1330" t="str">
        <f>AC8&amp;"-"&amp;AE8</f>
        <v>-</v>
      </c>
      <c r="AC10" s="4039"/>
      <c r="AD10" s="3899"/>
      <c r="AE10" s="4039"/>
      <c r="AF10" s="3899"/>
      <c r="AG10" s="1306"/>
      <c r="AH10" s="260"/>
      <c r="AI10" s="260"/>
      <c r="AJ10" s="260"/>
      <c r="AK10" s="263" t="str">
        <f>AL8&amp;"-"&amp;AN8</f>
        <v>-</v>
      </c>
      <c r="AL10" s="4039"/>
      <c r="AM10" s="3899"/>
      <c r="AN10" s="4039"/>
      <c r="AO10" s="3899"/>
      <c r="AP10" s="260"/>
      <c r="AQ10" s="4057"/>
      <c r="AS10" s="434"/>
      <c r="AT10" s="434" t="str">
        <f>IF(V10="","",V10)</f>
        <v/>
      </c>
      <c r="AU10" s="434"/>
      <c r="AV10" s="434"/>
      <c r="AW10" s="1079">
        <v>0</v>
      </c>
    </row>
    <row r="11" spans="1:49" ht="11.25" hidden="1" customHeight="1">
      <c r="A11" s="1191"/>
      <c r="B11" s="1191"/>
      <c r="C11" s="1191"/>
      <c r="D11" s="1191"/>
      <c r="E11" s="4060"/>
      <c r="F11" s="4060"/>
      <c r="G11" s="4060"/>
      <c r="H11" s="4060"/>
      <c r="I11" s="3870"/>
      <c r="J11" s="3870"/>
      <c r="K11" s="3889"/>
      <c r="L11" s="1191"/>
      <c r="M11" s="1234"/>
      <c r="N11" s="443"/>
      <c r="O11" s="262"/>
      <c r="P11" s="262"/>
      <c r="Q11" s="4037"/>
      <c r="R11" s="4037"/>
      <c r="S11" s="4037"/>
      <c r="T11" s="291"/>
      <c r="U11" s="1202"/>
      <c r="V11" s="223" t="s">
        <v>663</v>
      </c>
      <c r="W11" s="1316"/>
      <c r="X11" s="1317"/>
      <c r="Y11" s="1317"/>
      <c r="Z11" s="1317"/>
      <c r="AA11" s="1317"/>
      <c r="AB11" s="1318"/>
      <c r="AC11" s="4039"/>
      <c r="AD11" s="3899"/>
      <c r="AE11" s="4039"/>
      <c r="AF11" s="3899"/>
      <c r="AG11" s="1317"/>
      <c r="AH11" s="1317"/>
      <c r="AI11" s="1317"/>
      <c r="AJ11" s="1317"/>
      <c r="AK11" s="1318"/>
      <c r="AL11" s="4039"/>
      <c r="AM11" s="3899"/>
      <c r="AN11" s="4039"/>
      <c r="AO11" s="3899"/>
      <c r="AP11" s="1319"/>
      <c r="AQ11" s="4057"/>
      <c r="AS11" s="434"/>
      <c r="AT11" s="434"/>
      <c r="AU11" s="434"/>
      <c r="AV11" s="434"/>
      <c r="AW11" s="1079">
        <v>0</v>
      </c>
    </row>
    <row r="12" spans="1:49" ht="15" hidden="1" customHeight="1">
      <c r="A12" s="1191"/>
      <c r="B12" s="1191"/>
      <c r="C12" s="1191"/>
      <c r="D12" s="1191"/>
      <c r="E12" s="4060"/>
      <c r="F12" s="4060"/>
      <c r="G12" s="4060"/>
      <c r="H12" s="4060"/>
      <c r="I12" s="3870"/>
      <c r="J12" s="3889"/>
      <c r="K12" s="1191"/>
      <c r="L12" s="1191"/>
      <c r="M12" s="1234"/>
      <c r="N12" s="443"/>
      <c r="O12" s="262"/>
      <c r="Q12" s="4037"/>
      <c r="R12" s="4037"/>
      <c r="S12" s="1255"/>
      <c r="T12" s="290"/>
      <c r="U12" s="1202"/>
      <c r="V12" s="222" t="s">
        <v>619</v>
      </c>
      <c r="W12" s="301"/>
      <c r="X12" s="301"/>
      <c r="Y12" s="301"/>
      <c r="Z12" s="301"/>
      <c r="AA12" s="301"/>
      <c r="AB12" s="301"/>
      <c r="AC12" s="1332"/>
      <c r="AD12" s="1332"/>
      <c r="AE12" s="1332"/>
      <c r="AF12" s="1332"/>
      <c r="AG12" s="301"/>
      <c r="AH12" s="301"/>
      <c r="AI12" s="301"/>
      <c r="AJ12" s="301"/>
      <c r="AK12" s="301"/>
      <c r="AL12" s="301"/>
      <c r="AM12" s="301"/>
      <c r="AN12" s="301"/>
      <c r="AO12" s="301"/>
      <c r="AP12" s="259"/>
      <c r="AQ12" s="4058"/>
      <c r="AS12" s="434"/>
      <c r="AT12" s="434" t="str">
        <f t="shared" ref="AT12:AT17" si="1">IF(V12="","",V12)</f>
        <v>Добавить вид теплоносителя (параметры теплоносителя)</v>
      </c>
      <c r="AU12" s="434"/>
      <c r="AV12" s="434"/>
      <c r="AW12" s="1079">
        <v>0</v>
      </c>
    </row>
    <row r="13" spans="1:49" ht="11.25" hidden="1" customHeight="1">
      <c r="A13" s="1191"/>
      <c r="B13" s="1191"/>
      <c r="C13" s="1191"/>
      <c r="D13" s="1191"/>
      <c r="E13" s="4060"/>
      <c r="F13" s="4060"/>
      <c r="G13" s="4060"/>
      <c r="H13" s="4060"/>
      <c r="I13" s="3889"/>
      <c r="J13" s="1191"/>
      <c r="K13" s="1191"/>
      <c r="L13" s="1191"/>
      <c r="M13" s="1234"/>
      <c r="N13" s="443"/>
      <c r="Q13" s="4037"/>
      <c r="R13" s="1255"/>
      <c r="S13" s="1255"/>
      <c r="T13" s="290"/>
      <c r="U13" s="1202"/>
      <c r="V13" s="299" t="s">
        <v>620</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9">
        <v>0</v>
      </c>
    </row>
    <row r="14" spans="1:49" ht="14.25" hidden="1" customHeight="1">
      <c r="A14" s="1191"/>
      <c r="B14" s="1191"/>
      <c r="C14" s="1191"/>
      <c r="D14" s="1191"/>
      <c r="E14" s="4060"/>
      <c r="F14" s="4060"/>
      <c r="G14" s="4060"/>
      <c r="H14" s="4059"/>
      <c r="I14" s="1191"/>
      <c r="J14" s="1191"/>
      <c r="K14" s="1191"/>
      <c r="L14" s="1191"/>
      <c r="M14" s="1234"/>
      <c r="N14" s="622"/>
      <c r="O14" s="622"/>
      <c r="P14" s="443"/>
      <c r="Q14" s="294"/>
      <c r="R14" s="309"/>
      <c r="S14" s="289"/>
      <c r="T14" s="294"/>
      <c r="U14" s="1310"/>
      <c r="V14" s="1311"/>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3"/>
      <c r="AS14" s="434"/>
      <c r="AT14" s="434" t="str">
        <f t="shared" si="1"/>
        <v/>
      </c>
      <c r="AU14" s="434"/>
      <c r="AV14" s="434"/>
      <c r="AW14" s="1079">
        <v>0</v>
      </c>
    </row>
    <row r="15" spans="1:49" s="1566" customFormat="1" ht="14.25" hidden="1" customHeight="1">
      <c r="A15" s="1298"/>
      <c r="B15" s="1298"/>
      <c r="C15" s="1298"/>
      <c r="D15" s="1298"/>
      <c r="E15" s="4060"/>
      <c r="F15" s="4060"/>
      <c r="G15" s="4059"/>
      <c r="H15" s="1298"/>
      <c r="I15" s="1298"/>
      <c r="J15" s="1298"/>
      <c r="K15" s="1298"/>
      <c r="L15" s="1298"/>
      <c r="M15" s="1301"/>
      <c r="N15" s="1302"/>
      <c r="O15" s="1302"/>
      <c r="P15" s="285"/>
      <c r="Q15" s="1240"/>
      <c r="R15" s="1241"/>
      <c r="S15" s="1240"/>
      <c r="T15" s="1240"/>
      <c r="U15" s="1242"/>
      <c r="V15" s="1243" t="s">
        <v>235</v>
      </c>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S15" s="717"/>
      <c r="AT15" s="717" t="str">
        <f t="shared" si="1"/>
        <v>Добавить источник для дифференциации</v>
      </c>
      <c r="AU15" s="717"/>
      <c r="AV15" s="717"/>
      <c r="AW15" s="452">
        <v>0</v>
      </c>
    </row>
    <row r="16" spans="1:49" s="1566" customFormat="1" ht="14.25" hidden="1" customHeight="1">
      <c r="A16" s="1298"/>
      <c r="B16" s="1298"/>
      <c r="C16" s="1298"/>
      <c r="D16" s="1298"/>
      <c r="E16" s="4060"/>
      <c r="F16" s="4059"/>
      <c r="G16" s="1298"/>
      <c r="H16" s="1298"/>
      <c r="I16" s="1298"/>
      <c r="J16" s="1298"/>
      <c r="K16" s="1298"/>
      <c r="L16" s="1298"/>
      <c r="M16" s="1301"/>
      <c r="N16" s="1303"/>
      <c r="O16" s="1303"/>
      <c r="P16" s="285"/>
      <c r="Q16" s="1240"/>
      <c r="R16" s="1241"/>
      <c r="S16" s="1240"/>
      <c r="T16" s="1240"/>
      <c r="U16" s="1246"/>
      <c r="V16" s="1247" t="s">
        <v>236</v>
      </c>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S16" s="717"/>
      <c r="AT16" s="717" t="str">
        <f t="shared" si="1"/>
        <v>Добавить централизованную систему для дифференциации</v>
      </c>
      <c r="AU16" s="717"/>
      <c r="AV16" s="717"/>
      <c r="AW16" s="452">
        <v>0</v>
      </c>
    </row>
    <row r="17" spans="1:49" s="1566" customFormat="1" ht="14.25" hidden="1" customHeight="1">
      <c r="A17" s="1298"/>
      <c r="B17" s="1298"/>
      <c r="C17" s="1298"/>
      <c r="D17" s="1298"/>
      <c r="E17" s="4059"/>
      <c r="F17" s="1298"/>
      <c r="G17" s="1298"/>
      <c r="H17" s="1298"/>
      <c r="I17" s="1298"/>
      <c r="J17" s="1298"/>
      <c r="K17" s="1298"/>
      <c r="L17" s="1298"/>
      <c r="M17" s="1301"/>
      <c r="N17" s="1303"/>
      <c r="O17" s="1303"/>
      <c r="P17" s="285"/>
      <c r="Q17" s="1240"/>
      <c r="R17" s="1241"/>
      <c r="S17" s="1240"/>
      <c r="T17" s="1240"/>
      <c r="U17" s="1246"/>
      <c r="V17" s="1249" t="s">
        <v>286</v>
      </c>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S17" s="717"/>
      <c r="AT17" s="717" t="str">
        <f t="shared" si="1"/>
        <v>Добавить территорию для дифференциации</v>
      </c>
      <c r="AU17" s="717"/>
      <c r="AV17" s="717"/>
      <c r="AW17" s="452">
        <v>0</v>
      </c>
    </row>
    <row r="18" spans="1:49" ht="14.25" hidden="1" customHeight="1">
      <c r="AF18" s="262"/>
      <c r="AO18" s="262"/>
      <c r="AW18" s="1079">
        <v>0</v>
      </c>
    </row>
    <row r="19" spans="1:49" ht="14.25" hidden="1" customHeight="1">
      <c r="AG19" s="1284"/>
      <c r="AH19" s="1284"/>
      <c r="AI19" s="1284"/>
      <c r="AJ19" s="1284"/>
      <c r="AK19" s="1285"/>
      <c r="AL19" s="4031"/>
      <c r="AM19" s="4030" t="s">
        <v>53</v>
      </c>
      <c r="AN19" s="4031"/>
      <c r="AO19" s="4030" t="s">
        <v>53</v>
      </c>
      <c r="AW19" s="1079">
        <v>0</v>
      </c>
    </row>
    <row r="20" spans="1:49" ht="14.25" hidden="1" customHeight="1">
      <c r="AG20" s="1284"/>
      <c r="AH20" s="1284"/>
      <c r="AI20" s="1284"/>
      <c r="AJ20" s="1284"/>
      <c r="AK20" s="1285"/>
      <c r="AL20" s="4031"/>
      <c r="AM20" s="4030"/>
      <c r="AN20" s="4031"/>
      <c r="AO20" s="4030"/>
      <c r="AW20" s="1079">
        <v>0</v>
      </c>
    </row>
    <row r="21" spans="1:49" ht="14.25" hidden="1" customHeight="1">
      <c r="AG21" s="1284"/>
      <c r="AH21" s="1284"/>
      <c r="AI21" s="1284"/>
      <c r="AJ21" s="1284"/>
      <c r="AK21" s="1285"/>
      <c r="AL21" s="4031"/>
      <c r="AM21" s="4030"/>
      <c r="AN21" s="4031"/>
      <c r="AO21" s="4030"/>
      <c r="AW21" s="1079">
        <v>0</v>
      </c>
    </row>
    <row r="22" spans="1:49" ht="14.25" hidden="1" customHeight="1">
      <c r="AG22" s="1284"/>
      <c r="AH22" s="1284"/>
      <c r="AI22" s="1284"/>
      <c r="AJ22" s="1284"/>
      <c r="AK22" s="263" t="str">
        <f>AL19&amp;"-"&amp;AN19</f>
        <v>-</v>
      </c>
      <c r="AL22" s="4030"/>
      <c r="AM22" s="4030"/>
      <c r="AN22" s="4030"/>
      <c r="AO22" s="4030"/>
      <c r="AW22" s="1079">
        <v>0</v>
      </c>
    </row>
    <row r="23" spans="1:49" ht="14.25" hidden="1" customHeight="1">
      <c r="AO23" s="262"/>
      <c r="AW23" s="1079">
        <v>0</v>
      </c>
    </row>
    <row r="24" spans="1:49" s="1290" customFormat="1" ht="22.5" hidden="1" customHeight="1">
      <c r="A24" s="1079"/>
      <c r="B24" s="1079"/>
      <c r="C24" s="1079"/>
      <c r="D24" s="1079"/>
      <c r="E24" s="1079"/>
      <c r="F24" s="1079"/>
      <c r="G24" s="1079"/>
      <c r="H24" s="1079"/>
      <c r="I24" s="1079"/>
      <c r="J24" s="1079"/>
      <c r="K24" s="1079"/>
      <c r="L24" s="1079"/>
      <c r="M24" s="1251"/>
      <c r="N24" s="1252"/>
      <c r="O24" s="1252"/>
      <c r="P24" s="1269" t="s">
        <v>622</v>
      </c>
      <c r="Q24" s="1286"/>
      <c r="R24" s="1295"/>
      <c r="S24" s="1295"/>
      <c r="T24" s="1295"/>
      <c r="U24" s="663"/>
      <c r="AC24" s="1291"/>
      <c r="AE24" s="1291"/>
      <c r="AL24" s="1291"/>
      <c r="AN24" s="1291"/>
      <c r="AR24" s="445"/>
      <c r="AS24" s="445"/>
      <c r="AT24" s="445"/>
      <c r="AU24" s="445"/>
      <c r="AV24" s="445"/>
      <c r="AW24" s="1084">
        <v>0</v>
      </c>
    </row>
    <row r="25" spans="1:49" s="1290" customFormat="1" ht="14.25" hidden="1" customHeight="1">
      <c r="A25" s="1079"/>
      <c r="B25" s="1079"/>
      <c r="C25" s="1079"/>
      <c r="D25" s="1079"/>
      <c r="E25" s="1079"/>
      <c r="F25" s="1079"/>
      <c r="G25" s="1079"/>
      <c r="H25" s="1079"/>
      <c r="I25" s="1079"/>
      <c r="J25" s="1079"/>
      <c r="K25" s="1079"/>
      <c r="L25" s="1079"/>
      <c r="M25" s="1251"/>
      <c r="N25" s="1252"/>
      <c r="O25" s="1252"/>
      <c r="P25" s="1252"/>
      <c r="Q25" s="1286"/>
      <c r="R25" s="1295"/>
      <c r="S25" s="1295"/>
      <c r="T25" s="1295"/>
      <c r="U25" s="663"/>
      <c r="AR25" s="445"/>
      <c r="AS25" s="445"/>
      <c r="AT25" s="445"/>
      <c r="AU25" s="445"/>
      <c r="AV25" s="445"/>
      <c r="AW25" s="1084">
        <v>0</v>
      </c>
    </row>
    <row r="26" spans="1:49" s="1290" customFormat="1" ht="14.25" hidden="1" customHeight="1">
      <c r="A26" s="1079"/>
      <c r="B26" s="1079"/>
      <c r="C26" s="1079"/>
      <c r="D26" s="1079"/>
      <c r="E26" s="1079"/>
      <c r="F26" s="1079"/>
      <c r="G26" s="1079"/>
      <c r="H26" s="1079"/>
      <c r="I26" s="1079"/>
      <c r="J26" s="1079"/>
      <c r="K26" s="1079"/>
      <c r="L26" s="1079"/>
      <c r="M26" s="1251"/>
      <c r="N26" s="1252"/>
      <c r="O26" s="1252"/>
      <c r="P26" s="1234" t="s">
        <v>623</v>
      </c>
      <c r="Q26" s="1286"/>
      <c r="R26" s="1295"/>
      <c r="S26" s="1295"/>
      <c r="T26" s="1295"/>
      <c r="U26" s="663"/>
      <c r="V26" s="1084" t="s">
        <v>624</v>
      </c>
      <c r="AD26" s="121" t="s">
        <v>625</v>
      </c>
      <c r="AF26" s="121" t="s">
        <v>626</v>
      </c>
      <c r="AG26" s="1084" t="s">
        <v>624</v>
      </c>
      <c r="AM26" s="121" t="s">
        <v>627</v>
      </c>
      <c r="AO26" s="121" t="s">
        <v>626</v>
      </c>
      <c r="AR26" s="445"/>
      <c r="AS26" s="445"/>
      <c r="AT26" s="445"/>
      <c r="AU26" s="445"/>
      <c r="AV26" s="445"/>
      <c r="AW26" s="1084">
        <v>0</v>
      </c>
    </row>
    <row r="27" spans="1:49" ht="14.25" hidden="1" customHeight="1">
      <c r="P27" s="1234"/>
      <c r="AW27" s="1079">
        <v>0</v>
      </c>
    </row>
    <row r="28" spans="1:49" ht="14.25" hidden="1" customHeight="1">
      <c r="P28" s="1234"/>
      <c r="AW28" s="1079">
        <v>0</v>
      </c>
    </row>
    <row r="29" spans="1:49" ht="14.65" customHeight="1">
      <c r="R29" s="310"/>
      <c r="S29" s="310"/>
      <c r="T29" s="310"/>
      <c r="U29" s="1199"/>
      <c r="V29" s="297"/>
      <c r="W29" s="297"/>
      <c r="X29" s="443"/>
      <c r="Y29" s="443"/>
      <c r="Z29" s="443"/>
      <c r="AA29" s="443"/>
      <c r="AB29" s="443"/>
      <c r="AC29" s="443"/>
      <c r="AD29" s="443"/>
      <c r="AE29" s="443"/>
      <c r="AF29" s="443"/>
      <c r="AG29" s="443"/>
      <c r="AH29" s="443"/>
      <c r="AI29" s="443"/>
      <c r="AJ29" s="443"/>
      <c r="AK29" s="443"/>
      <c r="AL29" s="443"/>
      <c r="AM29" s="443"/>
      <c r="AN29" s="443"/>
      <c r="AO29" s="443"/>
      <c r="AW29" s="1079">
        <v>14</v>
      </c>
    </row>
    <row r="30" spans="1:49" ht="56.65" customHeight="1">
      <c r="R30" s="310"/>
      <c r="S30" s="310"/>
      <c r="T30" s="310"/>
      <c r="U30" s="401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4014"/>
      <c r="W30" s="4014"/>
      <c r="X30" s="4014"/>
      <c r="Y30" s="4014"/>
      <c r="Z30" s="4014"/>
      <c r="AA30" s="4014"/>
      <c r="AB30" s="4014"/>
      <c r="AC30" s="4014"/>
      <c r="AD30" s="4014"/>
      <c r="AE30" s="4014"/>
      <c r="AF30" s="4014"/>
      <c r="AG30" s="4014"/>
      <c r="AH30" s="4014"/>
      <c r="AI30" s="4014"/>
      <c r="AJ30" s="4014"/>
      <c r="AK30" s="4014"/>
      <c r="AL30" s="4014"/>
      <c r="AM30" s="4014"/>
      <c r="AN30" s="4014"/>
      <c r="AO30" s="1167"/>
      <c r="AW30" s="1079">
        <v>54</v>
      </c>
    </row>
    <row r="31" spans="1:49" ht="14.65" customHeight="1">
      <c r="R31" s="310"/>
      <c r="S31" s="310"/>
      <c r="T31" s="310"/>
      <c r="U31" s="3987" t="str">
        <f>IF(org=0,"Не определено",org)</f>
        <v>ООО "Смоленскрегионтеплоэнерго"</v>
      </c>
      <c r="V31" s="3987"/>
      <c r="W31" s="3987"/>
      <c r="X31" s="3987"/>
      <c r="Y31" s="3987"/>
      <c r="Z31" s="3987"/>
      <c r="AA31" s="3987"/>
      <c r="AB31" s="3987"/>
      <c r="AC31" s="3987"/>
      <c r="AD31" s="3987"/>
      <c r="AE31" s="3987"/>
      <c r="AF31" s="3987"/>
      <c r="AG31" s="3987"/>
      <c r="AH31" s="3987"/>
      <c r="AI31" s="3987"/>
      <c r="AJ31" s="3987"/>
      <c r="AK31" s="3987"/>
      <c r="AL31" s="3987"/>
      <c r="AM31" s="3987"/>
      <c r="AN31" s="3987"/>
      <c r="AO31" s="1167"/>
      <c r="AW31" s="1079">
        <v>14</v>
      </c>
    </row>
    <row r="32" spans="1:49" ht="14.25" hidden="1" customHeight="1">
      <c r="R32" s="310"/>
      <c r="S32" s="310"/>
      <c r="T32" s="310"/>
      <c r="U32" s="1199"/>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9">
        <v>0</v>
      </c>
    </row>
    <row r="33" spans="1:49" s="1748" customFormat="1" ht="25.5" hidden="1" customHeight="1">
      <c r="A33" s="1172"/>
      <c r="B33" s="1172"/>
      <c r="C33" s="1172"/>
      <c r="D33" s="1172"/>
      <c r="E33" s="1172"/>
      <c r="F33" s="1172"/>
      <c r="G33" s="1172"/>
      <c r="H33" s="1172"/>
      <c r="I33" s="1172"/>
      <c r="J33" s="1172"/>
      <c r="K33" s="1172"/>
      <c r="L33" s="1172"/>
      <c r="M33" s="1304"/>
      <c r="N33" s="1172"/>
      <c r="O33" s="1172"/>
      <c r="P33" s="1172"/>
      <c r="U33" s="4024" t="s">
        <v>29</v>
      </c>
      <c r="V33" s="4024"/>
      <c r="W33" s="1296"/>
      <c r="X33" s="4026" t="str">
        <f>IF(TITLE_NAME_OR_PR_CHANGE="",IF(TITLE_NAME_OR_PR="","",TITLE_NAME_OR_PR),TITLE_NAME_OR_PR_CHANGE)</f>
        <v/>
      </c>
      <c r="Y33" s="4026"/>
      <c r="Z33" s="4026"/>
      <c r="AA33" s="4026"/>
      <c r="AB33" s="4026"/>
      <c r="AC33" s="4026"/>
      <c r="AD33" s="4026"/>
      <c r="AE33" s="4026"/>
      <c r="AF33" s="261"/>
      <c r="AG33" s="4026" t="str">
        <f>IF(TITLE_NAME_OR_PR_CHANGE="",IF(TITLE_NAME_OR_PR="","",TITLE_NAME_OR_PR),TITLE_NAME_OR_PR_CHANGE)</f>
        <v/>
      </c>
      <c r="AH33" s="4026"/>
      <c r="AI33" s="4026"/>
      <c r="AJ33" s="4026"/>
      <c r="AK33" s="4026"/>
      <c r="AL33" s="4026"/>
      <c r="AM33" s="4026"/>
      <c r="AN33" s="4026"/>
      <c r="AO33" s="261"/>
      <c r="AP33" s="261"/>
      <c r="AQ33" s="215"/>
      <c r="AR33" s="302"/>
      <c r="AS33" s="302"/>
      <c r="AT33" s="302"/>
      <c r="AU33" s="302"/>
      <c r="AV33" s="302"/>
      <c r="AW33" s="352">
        <v>0</v>
      </c>
    </row>
    <row r="34" spans="1:49" s="1748" customFormat="1" ht="18.75" hidden="1" customHeight="1">
      <c r="A34" s="1172"/>
      <c r="B34" s="1172"/>
      <c r="C34" s="1172"/>
      <c r="D34" s="1172"/>
      <c r="E34" s="1172"/>
      <c r="F34" s="1172"/>
      <c r="G34" s="1172"/>
      <c r="H34" s="1172"/>
      <c r="I34" s="1172"/>
      <c r="J34" s="1172"/>
      <c r="K34" s="1172"/>
      <c r="L34" s="1172"/>
      <c r="M34" s="1304"/>
      <c r="N34" s="1172"/>
      <c r="O34" s="1172"/>
      <c r="P34" s="1172"/>
      <c r="U34" s="4024" t="s">
        <v>628</v>
      </c>
      <c r="V34" s="4024"/>
      <c r="W34" s="1296"/>
      <c r="X34" s="4025">
        <f>IF(TITLE_DATE_PR_CHANGE="",IF(TITLE_DATE_PR="","",TITLE_DATE_PR),TITLE_DATE_PR_CHANGE)</f>
        <v>45765</v>
      </c>
      <c r="Y34" s="4025"/>
      <c r="Z34" s="4025"/>
      <c r="AA34" s="4025"/>
      <c r="AB34" s="4025"/>
      <c r="AC34" s="4025"/>
      <c r="AD34" s="4025"/>
      <c r="AE34" s="4025"/>
      <c r="AF34" s="261"/>
      <c r="AG34" s="4025">
        <f>IF(TITLE_DATE_PR_CHANGE="",IF(TITLE_DATE_PR="","",TITLE_DATE_PR),TITLE_DATE_PR_CHANGE)</f>
        <v>45765</v>
      </c>
      <c r="AH34" s="4025"/>
      <c r="AI34" s="4025"/>
      <c r="AJ34" s="4025"/>
      <c r="AK34" s="4025"/>
      <c r="AL34" s="4025"/>
      <c r="AM34" s="4025"/>
      <c r="AN34" s="4025"/>
      <c r="AO34" s="261"/>
      <c r="AP34" s="261"/>
      <c r="AQ34" s="215"/>
      <c r="AR34" s="302"/>
      <c r="AS34" s="302"/>
      <c r="AT34" s="302"/>
      <c r="AU34" s="302"/>
      <c r="AV34" s="302"/>
      <c r="AW34" s="352">
        <v>0</v>
      </c>
    </row>
    <row r="35" spans="1:49" s="1748" customFormat="1" ht="18.75" hidden="1" customHeight="1">
      <c r="A35" s="1172"/>
      <c r="B35" s="1172"/>
      <c r="C35" s="1172"/>
      <c r="D35" s="1172"/>
      <c r="E35" s="1172"/>
      <c r="F35" s="1172"/>
      <c r="G35" s="1172"/>
      <c r="H35" s="1172"/>
      <c r="I35" s="1172"/>
      <c r="J35" s="1172"/>
      <c r="K35" s="1172"/>
      <c r="L35" s="1172"/>
      <c r="M35" s="1304"/>
      <c r="N35" s="1172"/>
      <c r="O35" s="1172"/>
      <c r="P35" s="1172"/>
      <c r="U35" s="4024" t="s">
        <v>629</v>
      </c>
      <c r="V35" s="4024"/>
      <c r="W35" s="1296"/>
      <c r="X35" s="4026" t="str">
        <f>IF(TITLE_NUMBER_PR_CHANGE="",IF(TITLE_NUMBER_PR="","",TITLE_NUMBER_PR),TITLE_NUMBER_PR_CHANGE)</f>
        <v>917</v>
      </c>
      <c r="Y35" s="4026"/>
      <c r="Z35" s="4026"/>
      <c r="AA35" s="4026"/>
      <c r="AB35" s="4026"/>
      <c r="AC35" s="4026"/>
      <c r="AD35" s="4026"/>
      <c r="AE35" s="4026"/>
      <c r="AF35" s="261"/>
      <c r="AG35" s="4026" t="str">
        <f>IF(TITLE_NUMBER_PR_CHANGE="",IF(TITLE_NUMBER_PR="","",TITLE_NUMBER_PR),TITLE_NUMBER_PR_CHANGE)</f>
        <v>917</v>
      </c>
      <c r="AH35" s="4026"/>
      <c r="AI35" s="4026"/>
      <c r="AJ35" s="4026"/>
      <c r="AK35" s="4026"/>
      <c r="AL35" s="4026"/>
      <c r="AM35" s="4026"/>
      <c r="AN35" s="4026"/>
      <c r="AO35" s="261"/>
      <c r="AP35" s="261"/>
      <c r="AQ35" s="215"/>
      <c r="AR35" s="302"/>
      <c r="AS35" s="302"/>
      <c r="AT35" s="302"/>
      <c r="AU35" s="302"/>
      <c r="AV35" s="302"/>
      <c r="AW35" s="352">
        <v>0</v>
      </c>
    </row>
    <row r="36" spans="1:49" s="1748" customFormat="1" ht="18.75" hidden="1" customHeight="1">
      <c r="A36" s="1172"/>
      <c r="B36" s="1172"/>
      <c r="C36" s="1172"/>
      <c r="D36" s="1172"/>
      <c r="E36" s="1172"/>
      <c r="F36" s="1172"/>
      <c r="G36" s="1172"/>
      <c r="H36" s="1172"/>
      <c r="I36" s="1172"/>
      <c r="J36" s="1172"/>
      <c r="K36" s="1172"/>
      <c r="L36" s="1172"/>
      <c r="M36" s="1304"/>
      <c r="N36" s="1172"/>
      <c r="O36" s="1172"/>
      <c r="P36" s="1172"/>
      <c r="U36" s="4024" t="s">
        <v>30</v>
      </c>
      <c r="V36" s="4024"/>
      <c r="W36" s="1296"/>
      <c r="X36" s="4026" t="str">
        <f>IF(TITLE_IST_PUB_CHANGE="",IF(TITLE_IST_PUB="","",TITLE_IST_PUB),TITLE_IST_PUB_CHANGE)</f>
        <v/>
      </c>
      <c r="Y36" s="4026"/>
      <c r="Z36" s="4026"/>
      <c r="AA36" s="4026"/>
      <c r="AB36" s="4026"/>
      <c r="AC36" s="4026"/>
      <c r="AD36" s="4026"/>
      <c r="AE36" s="4026"/>
      <c r="AF36" s="261"/>
      <c r="AG36" s="4026" t="str">
        <f>IF(TITLE_IST_PUB_CHANGE="",IF(TITLE_IST_PUB="","",TITLE_IST_PUB),TITLE_IST_PUB_CHANGE)</f>
        <v/>
      </c>
      <c r="AH36" s="4026"/>
      <c r="AI36" s="4026"/>
      <c r="AJ36" s="4026"/>
      <c r="AK36" s="4026"/>
      <c r="AL36" s="4026"/>
      <c r="AM36" s="4026"/>
      <c r="AN36" s="4026"/>
      <c r="AO36" s="261"/>
      <c r="AP36" s="261"/>
      <c r="AQ36" s="215"/>
      <c r="AR36" s="302"/>
      <c r="AS36" s="302"/>
      <c r="AT36" s="302"/>
      <c r="AU36" s="302"/>
      <c r="AV36" s="302"/>
      <c r="AW36" s="352">
        <v>0</v>
      </c>
    </row>
    <row r="37" spans="1:49" ht="14.25" customHeight="1">
      <c r="R37" s="310"/>
      <c r="S37" s="310"/>
      <c r="T37" s="310"/>
      <c r="U37" s="1199"/>
      <c r="V37" s="297"/>
      <c r="W37" s="297"/>
      <c r="X37" s="257"/>
      <c r="Y37" s="257"/>
      <c r="Z37" s="257"/>
      <c r="AA37" s="257"/>
      <c r="AB37" s="257"/>
      <c r="AC37" s="257"/>
      <c r="AD37" s="257"/>
      <c r="AE37" s="257"/>
      <c r="AF37" s="257"/>
      <c r="AG37" s="257"/>
      <c r="AH37" s="257"/>
      <c r="AI37" s="257"/>
      <c r="AJ37" s="257"/>
      <c r="AK37" s="257"/>
      <c r="AL37" s="257"/>
      <c r="AM37" s="257"/>
      <c r="AN37" s="257"/>
      <c r="AO37" s="257"/>
      <c r="AP37" s="443"/>
      <c r="AW37" s="1079">
        <v>0</v>
      </c>
    </row>
    <row r="38" spans="1:49" s="1748" customFormat="1" ht="18.75" customHeight="1">
      <c r="A38" s="1172"/>
      <c r="B38" s="1172"/>
      <c r="C38" s="1172"/>
      <c r="D38" s="1172"/>
      <c r="E38" s="1172"/>
      <c r="F38" s="1172"/>
      <c r="G38" s="1172"/>
      <c r="H38" s="1172"/>
      <c r="I38" s="1172"/>
      <c r="J38" s="1172"/>
      <c r="K38" s="1172"/>
      <c r="L38" s="1172"/>
      <c r="M38" s="1304"/>
      <c r="N38" s="1172"/>
      <c r="O38" s="1172"/>
      <c r="P38" s="1172"/>
      <c r="U38" s="4024" t="s">
        <v>630</v>
      </c>
      <c r="V38" s="4024"/>
      <c r="W38" s="1296"/>
      <c r="X38" s="4025">
        <f>IF(TITLE_DATE_PR_CHANGE="",IF(TITLE_DATE_PR="","",TITLE_DATE_PR),TITLE_DATE_PR_CHANGE)</f>
        <v>45765</v>
      </c>
      <c r="Y38" s="4025"/>
      <c r="Z38" s="4025"/>
      <c r="AA38" s="4025"/>
      <c r="AB38" s="4025"/>
      <c r="AC38" s="4025"/>
      <c r="AD38" s="4025"/>
      <c r="AE38" s="4025"/>
      <c r="AF38" s="261"/>
      <c r="AG38" s="4025">
        <f>IF(TITLE_DATE_PR_CHANGE="",IF(TITLE_DATE_PR="","",TITLE_DATE_PR),TITLE_DATE_PR_CHANGE)</f>
        <v>45765</v>
      </c>
      <c r="AH38" s="4025"/>
      <c r="AI38" s="4025"/>
      <c r="AJ38" s="4025"/>
      <c r="AK38" s="4025"/>
      <c r="AL38" s="4025"/>
      <c r="AM38" s="4025"/>
      <c r="AN38" s="4025"/>
      <c r="AO38" s="261"/>
      <c r="AP38" s="261"/>
      <c r="AQ38" s="215"/>
      <c r="AR38" s="302"/>
      <c r="AS38" s="302"/>
      <c r="AT38" s="302"/>
      <c r="AU38" s="302"/>
      <c r="AV38" s="302"/>
      <c r="AW38" s="352">
        <v>0</v>
      </c>
    </row>
    <row r="39" spans="1:49" s="1748" customFormat="1" ht="18.75" customHeight="1">
      <c r="A39" s="1172"/>
      <c r="B39" s="1172"/>
      <c r="C39" s="1172"/>
      <c r="D39" s="1172"/>
      <c r="E39" s="1172"/>
      <c r="F39" s="1172"/>
      <c r="G39" s="1172"/>
      <c r="H39" s="1172"/>
      <c r="I39" s="1172"/>
      <c r="J39" s="1172"/>
      <c r="K39" s="1172"/>
      <c r="L39" s="1172"/>
      <c r="M39" s="1304"/>
      <c r="N39" s="1172"/>
      <c r="O39" s="1172"/>
      <c r="P39" s="1172"/>
      <c r="U39" s="4024" t="s">
        <v>631</v>
      </c>
      <c r="V39" s="4024"/>
      <c r="W39" s="1296"/>
      <c r="X39" s="4026" t="str">
        <f>IF(TITLE_NUMBER_PR_CHANGE="",IF(TITLE_NUMBER_PR="","",TITLE_NUMBER_PR),TITLE_NUMBER_PR_CHANGE)</f>
        <v>917</v>
      </c>
      <c r="Y39" s="4026"/>
      <c r="Z39" s="4026"/>
      <c r="AA39" s="4026"/>
      <c r="AB39" s="4026"/>
      <c r="AC39" s="4026"/>
      <c r="AD39" s="4026"/>
      <c r="AE39" s="4026"/>
      <c r="AF39" s="261"/>
      <c r="AG39" s="4026" t="str">
        <f>IF(TITLE_NUMBER_PR_CHANGE="",IF(TITLE_NUMBER_PR="","",TITLE_NUMBER_PR),TITLE_NUMBER_PR_CHANGE)</f>
        <v>917</v>
      </c>
      <c r="AH39" s="4026"/>
      <c r="AI39" s="4026"/>
      <c r="AJ39" s="4026"/>
      <c r="AK39" s="4026"/>
      <c r="AL39" s="4026"/>
      <c r="AM39" s="4026"/>
      <c r="AN39" s="4026"/>
      <c r="AO39" s="261"/>
      <c r="AP39" s="261"/>
      <c r="AQ39" s="215"/>
      <c r="AR39" s="302"/>
      <c r="AS39" s="302"/>
      <c r="AT39" s="302"/>
      <c r="AU39" s="302"/>
      <c r="AV39" s="302"/>
      <c r="AW39" s="352">
        <v>0</v>
      </c>
    </row>
    <row r="40" spans="1:49" s="1748" customFormat="1" ht="0" hidden="1" customHeight="1">
      <c r="A40" s="1172"/>
      <c r="B40" s="1172"/>
      <c r="C40" s="1172"/>
      <c r="D40" s="1172"/>
      <c r="E40" s="1172"/>
      <c r="F40" s="1172"/>
      <c r="G40" s="1172"/>
      <c r="H40" s="1172"/>
      <c r="I40" s="1172"/>
      <c r="J40" s="1172"/>
      <c r="K40" s="1172"/>
      <c r="L40" s="1172"/>
      <c r="M40" s="1304"/>
      <c r="N40" s="1172"/>
      <c r="O40" s="1172"/>
      <c r="P40" s="1172"/>
      <c r="U40" s="258"/>
      <c r="V40" s="258"/>
      <c r="W40" s="1264"/>
      <c r="X40" s="261"/>
      <c r="Y40" s="261"/>
      <c r="Z40" s="261"/>
      <c r="AA40" s="261"/>
      <c r="AB40" s="261"/>
      <c r="AC40" s="261"/>
      <c r="AD40" s="261"/>
      <c r="AE40" s="261"/>
      <c r="AF40" s="213" t="s">
        <v>632</v>
      </c>
      <c r="AG40" s="261"/>
      <c r="AH40" s="261"/>
      <c r="AI40" s="261"/>
      <c r="AJ40" s="261"/>
      <c r="AK40" s="261"/>
      <c r="AL40" s="261"/>
      <c r="AM40" s="261"/>
      <c r="AN40" s="261"/>
      <c r="AO40" s="213" t="s">
        <v>632</v>
      </c>
      <c r="AR40" s="302"/>
      <c r="AS40" s="302"/>
      <c r="AT40" s="302"/>
      <c r="AU40" s="302"/>
      <c r="AV40" s="302"/>
      <c r="AW40" s="352">
        <v>0</v>
      </c>
    </row>
    <row r="41" spans="1:49" ht="14.65" customHeight="1">
      <c r="R41" s="310"/>
      <c r="S41" s="310"/>
      <c r="T41" s="310"/>
      <c r="U41" s="1199"/>
      <c r="V41" s="297"/>
      <c r="W41" s="1168"/>
      <c r="X41" s="4045"/>
      <c r="Y41" s="4045"/>
      <c r="Z41" s="4045"/>
      <c r="AA41" s="4045"/>
      <c r="AB41" s="4045"/>
      <c r="AC41" s="4045"/>
      <c r="AD41" s="4045"/>
      <c r="AE41" s="4045"/>
      <c r="AF41" s="4045"/>
      <c r="AG41" s="4045"/>
      <c r="AH41" s="4045"/>
      <c r="AI41" s="4045"/>
      <c r="AJ41" s="4045"/>
      <c r="AK41" s="4045"/>
      <c r="AL41" s="4045"/>
      <c r="AM41" s="4045"/>
      <c r="AN41" s="4045"/>
      <c r="AO41" s="4045"/>
      <c r="AW41" s="1079">
        <v>14</v>
      </c>
    </row>
    <row r="42" spans="1:49" ht="14.65" customHeight="1">
      <c r="R42" s="310"/>
      <c r="S42" s="310"/>
      <c r="T42" s="310"/>
      <c r="U42" s="3889" t="s">
        <v>508</v>
      </c>
      <c r="V42" s="3889"/>
      <c r="W42" s="3889"/>
      <c r="X42" s="3889"/>
      <c r="Y42" s="3889"/>
      <c r="Z42" s="3889"/>
      <c r="AA42" s="3889"/>
      <c r="AB42" s="3889"/>
      <c r="AC42" s="3889"/>
      <c r="AD42" s="3889"/>
      <c r="AE42" s="3889"/>
      <c r="AF42" s="3889"/>
      <c r="AG42" s="3889"/>
      <c r="AH42" s="3889"/>
      <c r="AI42" s="3889"/>
      <c r="AJ42" s="3889"/>
      <c r="AK42" s="3889"/>
      <c r="AL42" s="3889"/>
      <c r="AM42" s="3889"/>
      <c r="AN42" s="3889"/>
      <c r="AO42" s="3889"/>
      <c r="AP42" s="3889"/>
      <c r="AQ42" s="3889" t="s">
        <v>509</v>
      </c>
      <c r="AW42" s="1079">
        <v>14</v>
      </c>
    </row>
    <row r="43" spans="1:49" ht="14.65" customHeight="1">
      <c r="R43" s="310"/>
      <c r="S43" s="310"/>
      <c r="T43" s="310"/>
      <c r="U43" s="4046" t="s">
        <v>75</v>
      </c>
      <c r="V43" s="3995" t="s">
        <v>633</v>
      </c>
      <c r="W43" s="236"/>
      <c r="X43" s="4047" t="s">
        <v>634</v>
      </c>
      <c r="Y43" s="4063"/>
      <c r="Z43" s="4063"/>
      <c r="AA43" s="4063"/>
      <c r="AB43" s="4063"/>
      <c r="AC43" s="4048"/>
      <c r="AD43" s="4048"/>
      <c r="AE43" s="4049"/>
      <c r="AF43" s="4050" t="s">
        <v>635</v>
      </c>
      <c r="AG43" s="4047" t="s">
        <v>634</v>
      </c>
      <c r="AH43" s="4063"/>
      <c r="AI43" s="4063"/>
      <c r="AJ43" s="4063"/>
      <c r="AK43" s="4063"/>
      <c r="AL43" s="4048"/>
      <c r="AM43" s="4048"/>
      <c r="AN43" s="4049"/>
      <c r="AO43" s="4050" t="s">
        <v>636</v>
      </c>
      <c r="AP43" s="4053" t="s">
        <v>637</v>
      </c>
      <c r="AQ43" s="3889"/>
      <c r="AW43" s="1079">
        <v>14</v>
      </c>
    </row>
    <row r="44" spans="1:49" ht="35.65" customHeight="1">
      <c r="R44" s="310"/>
      <c r="S44" s="310"/>
      <c r="T44" s="310"/>
      <c r="U44" s="4046"/>
      <c r="V44" s="3995"/>
      <c r="W44" s="958"/>
      <c r="X44" s="3968" t="s">
        <v>664</v>
      </c>
      <c r="Y44" s="3889" t="s">
        <v>665</v>
      </c>
      <c r="Z44" s="3889"/>
      <c r="AA44" s="3889"/>
      <c r="AB44" s="3889"/>
      <c r="AC44" s="3968" t="s">
        <v>641</v>
      </c>
      <c r="AD44" s="4075"/>
      <c r="AE44" s="3969"/>
      <c r="AF44" s="4051"/>
      <c r="AG44" s="3968" t="s">
        <v>664</v>
      </c>
      <c r="AH44" s="3889" t="s">
        <v>665</v>
      </c>
      <c r="AI44" s="3889"/>
      <c r="AJ44" s="3889"/>
      <c r="AK44" s="3889"/>
      <c r="AL44" s="3968" t="s">
        <v>641</v>
      </c>
      <c r="AM44" s="4075"/>
      <c r="AN44" s="3969"/>
      <c r="AO44" s="4051"/>
      <c r="AP44" s="4054"/>
      <c r="AQ44" s="3889"/>
      <c r="AW44" s="1079">
        <v>34</v>
      </c>
    </row>
    <row r="45" spans="1:49" ht="14.65" customHeight="1">
      <c r="R45" s="310"/>
      <c r="S45" s="310"/>
      <c r="T45" s="310"/>
      <c r="U45" s="4046"/>
      <c r="V45" s="3995"/>
      <c r="W45" s="958"/>
      <c r="X45" s="3970"/>
      <c r="Y45" s="4001" t="s">
        <v>666</v>
      </c>
      <c r="Z45" s="4000" t="s">
        <v>667</v>
      </c>
      <c r="AA45" s="4012"/>
      <c r="AB45" s="4013"/>
      <c r="AC45" s="3973"/>
      <c r="AD45" s="4076"/>
      <c r="AE45" s="3974"/>
      <c r="AF45" s="4051"/>
      <c r="AG45" s="3970"/>
      <c r="AH45" s="4001" t="s">
        <v>666</v>
      </c>
      <c r="AI45" s="4000" t="s">
        <v>667</v>
      </c>
      <c r="AJ45" s="4012"/>
      <c r="AK45" s="4013"/>
      <c r="AL45" s="3973"/>
      <c r="AM45" s="4076"/>
      <c r="AN45" s="3974"/>
      <c r="AO45" s="4051"/>
      <c r="AP45" s="4054"/>
      <c r="AQ45" s="3889"/>
      <c r="AW45" s="1079">
        <v>14</v>
      </c>
    </row>
    <row r="46" spans="1:49" ht="27.4" customHeight="1">
      <c r="R46" s="310"/>
      <c r="S46" s="310"/>
      <c r="T46" s="310"/>
      <c r="U46" s="4046"/>
      <c r="V46" s="3995"/>
      <c r="W46" s="958"/>
      <c r="X46" s="3970"/>
      <c r="Y46" s="4074"/>
      <c r="Z46" s="4001" t="s">
        <v>668</v>
      </c>
      <c r="AA46" s="4000" t="s">
        <v>669</v>
      </c>
      <c r="AB46" s="4013"/>
      <c r="AC46" s="4001" t="s">
        <v>651</v>
      </c>
      <c r="AD46" s="4005" t="s">
        <v>652</v>
      </c>
      <c r="AE46" s="4003"/>
      <c r="AF46" s="4051"/>
      <c r="AG46" s="3970"/>
      <c r="AH46" s="4074"/>
      <c r="AI46" s="4001" t="s">
        <v>668</v>
      </c>
      <c r="AJ46" s="4000" t="s">
        <v>669</v>
      </c>
      <c r="AK46" s="4013"/>
      <c r="AL46" s="4001" t="s">
        <v>651</v>
      </c>
      <c r="AM46" s="4005" t="s">
        <v>652</v>
      </c>
      <c r="AN46" s="4003"/>
      <c r="AO46" s="4051"/>
      <c r="AP46" s="4054"/>
      <c r="AQ46" s="3889"/>
      <c r="AW46" s="1079">
        <v>26</v>
      </c>
    </row>
    <row r="47" spans="1:49" ht="65.25" customHeight="1">
      <c r="A47" s="1183"/>
      <c r="B47" s="1183" t="s">
        <v>207</v>
      </c>
      <c r="C47" s="1183" t="s">
        <v>208</v>
      </c>
      <c r="D47" s="1183" t="s">
        <v>209</v>
      </c>
      <c r="E47" s="1234" t="s">
        <v>642</v>
      </c>
      <c r="F47" s="1234" t="s">
        <v>643</v>
      </c>
      <c r="G47" s="1234" t="s">
        <v>644</v>
      </c>
      <c r="H47" s="1234" t="s">
        <v>645</v>
      </c>
      <c r="I47" s="1234" t="s">
        <v>646</v>
      </c>
      <c r="J47" s="1234" t="s">
        <v>647</v>
      </c>
      <c r="K47" s="1234" t="s">
        <v>648</v>
      </c>
      <c r="L47" s="1234" t="s">
        <v>670</v>
      </c>
      <c r="M47" s="1234" t="s">
        <v>623</v>
      </c>
      <c r="R47" s="310"/>
      <c r="S47" s="310"/>
      <c r="T47" s="310"/>
      <c r="U47" s="4046"/>
      <c r="V47" s="3995"/>
      <c r="W47" s="237"/>
      <c r="X47" s="3973"/>
      <c r="Y47" s="4002"/>
      <c r="Z47" s="4002"/>
      <c r="AA47" s="1146" t="s">
        <v>671</v>
      </c>
      <c r="AB47" s="1146" t="s">
        <v>672</v>
      </c>
      <c r="AC47" s="4002"/>
      <c r="AD47" s="4006"/>
      <c r="AE47" s="4004"/>
      <c r="AF47" s="4052"/>
      <c r="AG47" s="3973"/>
      <c r="AH47" s="4002"/>
      <c r="AI47" s="4002"/>
      <c r="AJ47" s="1146" t="s">
        <v>671</v>
      </c>
      <c r="AK47" s="1146" t="s">
        <v>672</v>
      </c>
      <c r="AL47" s="4002"/>
      <c r="AM47" s="4006"/>
      <c r="AN47" s="4004"/>
      <c r="AO47" s="4052"/>
      <c r="AP47" s="4055"/>
      <c r="AQ47" s="3889"/>
      <c r="AW47" s="1079">
        <v>62</v>
      </c>
    </row>
    <row r="48" spans="1:49" s="1565" customFormat="1" ht="11.25" hidden="1" customHeight="1">
      <c r="A48" s="1183"/>
      <c r="B48" s="1183"/>
      <c r="C48" s="1183"/>
      <c r="D48" s="1183"/>
      <c r="E48" s="1183"/>
      <c r="F48" s="1183"/>
      <c r="G48" s="1183"/>
      <c r="H48" s="1183"/>
      <c r="I48" s="1183"/>
      <c r="J48" s="1183"/>
      <c r="K48" s="1183"/>
      <c r="L48" s="1183"/>
      <c r="M48" s="1234"/>
      <c r="N48" s="1252"/>
      <c r="O48" s="1252"/>
      <c r="P48" s="1252"/>
      <c r="Q48" s="1170"/>
      <c r="R48" s="1171"/>
      <c r="S48" s="1178">
        <v>1</v>
      </c>
      <c r="T48" s="1178"/>
      <c r="U48" s="1201" t="s">
        <v>184</v>
      </c>
      <c r="V48" s="1179" t="s">
        <v>89</v>
      </c>
      <c r="W48" s="1169" t="str">
        <f ca="1">OFFSET(W48,0,-1)</f>
        <v>2</v>
      </c>
      <c r="X48" s="1259">
        <f ca="1">OFFSET(X48,0,-1)+1</f>
        <v>3</v>
      </c>
      <c r="Y48" s="1265"/>
      <c r="Z48" s="1265"/>
      <c r="AA48" s="1265">
        <f ca="1">OFFSET(AA48,0,-1)+1</f>
        <v>1</v>
      </c>
      <c r="AB48" s="1265">
        <f ca="1">OFFSET(AB48,0,-1)+1</f>
        <v>2</v>
      </c>
      <c r="AC48" s="1259">
        <f ca="1">OFFSET(AC48,0,-1)+1</f>
        <v>3</v>
      </c>
      <c r="AD48" s="4044">
        <f ca="1">OFFSET(AD48,0,-1)+1</f>
        <v>4</v>
      </c>
      <c r="AE48" s="4044"/>
      <c r="AF48" s="1259">
        <f ca="1">OFFSET(AF48,0,-2)+1</f>
        <v>5</v>
      </c>
      <c r="AG48" s="1259">
        <f ca="1">OFFSET(AG48,0,-1)+1</f>
        <v>6</v>
      </c>
      <c r="AH48" s="1259"/>
      <c r="AI48" s="1259"/>
      <c r="AJ48" s="1259">
        <f ca="1">OFFSET(AJ48,0,-1)+1</f>
        <v>1</v>
      </c>
      <c r="AK48" s="1259">
        <f ca="1">OFFSET(AK48,0,-1)+1</f>
        <v>2</v>
      </c>
      <c r="AL48" s="1259">
        <f ca="1">OFFSET(AL48,0,-1)+1</f>
        <v>3</v>
      </c>
      <c r="AM48" s="4044">
        <f ca="1">OFFSET(AM48,0,-1)+1</f>
        <v>4</v>
      </c>
      <c r="AN48" s="4044"/>
      <c r="AO48" s="1259">
        <f ca="1">OFFSET(AO48,0,-2)+1</f>
        <v>5</v>
      </c>
      <c r="AP48" s="1169">
        <f ca="1">OFFSET(AP48,0,-1)</f>
        <v>5</v>
      </c>
      <c r="AQ48" s="1259">
        <f ca="1">OFFSET(AQ48,0,-1)+1</f>
        <v>6</v>
      </c>
      <c r="AR48" s="445"/>
      <c r="AS48" s="445"/>
      <c r="AT48" s="445"/>
      <c r="AU48" s="445"/>
      <c r="AV48" s="445"/>
      <c r="AW48" s="430">
        <v>0</v>
      </c>
    </row>
    <row r="49" spans="1:49" ht="21.95" customHeight="1">
      <c r="A49" s="1191" t="s">
        <v>384</v>
      </c>
      <c r="B49" s="1191"/>
      <c r="C49" s="1191"/>
      <c r="D49" s="1191"/>
      <c r="E49" s="4059">
        <v>1</v>
      </c>
      <c r="F49" s="1191"/>
      <c r="G49" s="1191"/>
      <c r="H49" s="1191"/>
      <c r="I49" s="1191"/>
      <c r="J49" s="1191"/>
      <c r="K49" s="1191"/>
      <c r="L49" s="1191"/>
      <c r="M49" s="1234"/>
      <c r="N49" s="622"/>
      <c r="O49" s="622"/>
      <c r="P49" s="622"/>
      <c r="Q49" s="295"/>
      <c r="R49" s="294"/>
      <c r="S49" s="294"/>
      <c r="T49" s="289"/>
      <c r="U49" s="1260">
        <f>INDEX(PT_DIFFERENTIATION_NUM_NTAR,MATCH(A49,PT_DIFFERENTIATION_NTAR_ID,0))</f>
        <v>1</v>
      </c>
      <c r="V49" s="233" t="s">
        <v>195</v>
      </c>
      <c r="W49" s="235"/>
      <c r="X49" s="4027"/>
      <c r="Y49" s="4028"/>
      <c r="Z49" s="4028"/>
      <c r="AA49" s="4028"/>
      <c r="AB49" s="4028"/>
      <c r="AC49" s="4028"/>
      <c r="AD49" s="4028"/>
      <c r="AE49" s="4028"/>
      <c r="AF49" s="4029"/>
      <c r="AG49" s="4027" t="str">
        <f>INDEX(PT_DIFFERENTIATION_NTAR,MATCH(A49,PT_DIFFERENTIATION_NTAR_ID,0))</f>
        <v>Тариф на горячую воду с использованиемоткрытой системы горячего водоснабжения</v>
      </c>
      <c r="AH49" s="4028"/>
      <c r="AI49" s="4028"/>
      <c r="AJ49" s="4028"/>
      <c r="AK49" s="4028"/>
      <c r="AL49" s="4028"/>
      <c r="AM49" s="4028"/>
      <c r="AN49" s="4028"/>
      <c r="AO49" s="4028"/>
      <c r="AP49" s="4029"/>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4"/>
      <c r="AT49" s="434" t="str">
        <f t="shared" ref="AT49:AT65" si="2">IF(V49="","",V49)</f>
        <v>Наименование тарифа</v>
      </c>
      <c r="AU49" s="434"/>
      <c r="AV49" s="434"/>
      <c r="AW49" s="1079">
        <v>21</v>
      </c>
    </row>
    <row r="50" spans="1:49" ht="21.95" customHeight="1">
      <c r="A50" s="1191" t="s">
        <v>384</v>
      </c>
      <c r="B50" s="1191" t="s">
        <v>385</v>
      </c>
      <c r="C50" s="1191"/>
      <c r="D50" s="1191"/>
      <c r="E50" s="4060"/>
      <c r="F50" s="4059">
        <v>1</v>
      </c>
      <c r="G50" s="1191"/>
      <c r="H50" s="1191"/>
      <c r="I50" s="1191"/>
      <c r="J50" s="1191"/>
      <c r="K50" s="1191"/>
      <c r="L50" s="1191"/>
      <c r="M50" s="1234"/>
      <c r="N50" s="622"/>
      <c r="O50" s="622"/>
      <c r="P50" s="622"/>
      <c r="Q50" s="1256"/>
      <c r="R50" s="286"/>
      <c r="S50" s="443"/>
      <c r="T50" s="287"/>
      <c r="U50" s="1260" t="str">
        <f>INDEX(PT_DIFFERENTIATION_NUM_TER,MATCH(B50,PT_DIFFERENTIATION_TER_ID,0))</f>
        <v>1.</v>
      </c>
      <c r="V50" s="243" t="s">
        <v>605</v>
      </c>
      <c r="W50" s="235"/>
      <c r="X50" s="4027"/>
      <c r="Y50" s="4028"/>
      <c r="Z50" s="4028"/>
      <c r="AA50" s="4028"/>
      <c r="AB50" s="4028"/>
      <c r="AC50" s="4028"/>
      <c r="AD50" s="4028"/>
      <c r="AE50" s="4028"/>
      <c r="AF50" s="4029"/>
      <c r="AG50" s="4027" t="str">
        <f>INDEX(PT_DIFFERENTIATION_TER,MATCH(B50,PT_DIFFERENTIATION_TER_ID,0))</f>
        <v>Территория 6</v>
      </c>
      <c r="AH50" s="4028"/>
      <c r="AI50" s="4028"/>
      <c r="AJ50" s="4028"/>
      <c r="AK50" s="4028"/>
      <c r="AL50" s="4028"/>
      <c r="AM50" s="4028"/>
      <c r="AN50" s="4028"/>
      <c r="AO50" s="4028"/>
      <c r="AP50" s="4029"/>
      <c r="AQ50" s="1182" t="s">
        <v>606</v>
      </c>
      <c r="AS50" s="434"/>
      <c r="AT50" s="434" t="str">
        <f t="shared" si="2"/>
        <v>Территория действия тарифа</v>
      </c>
      <c r="AU50" s="434"/>
      <c r="AV50" s="434"/>
      <c r="AW50" s="1079">
        <v>21</v>
      </c>
    </row>
    <row r="51" spans="1:49" ht="24" customHeight="1">
      <c r="A51" s="1191" t="s">
        <v>384</v>
      </c>
      <c r="B51" s="1191" t="s">
        <v>385</v>
      </c>
      <c r="C51" s="1191" t="s">
        <v>386</v>
      </c>
      <c r="D51" s="1191"/>
      <c r="E51" s="4060"/>
      <c r="F51" s="4060"/>
      <c r="G51" s="4059">
        <v>1</v>
      </c>
      <c r="H51" s="1191"/>
      <c r="I51" s="1191"/>
      <c r="J51" s="1191"/>
      <c r="K51" s="1191"/>
      <c r="L51" s="1191"/>
      <c r="M51" s="1234"/>
      <c r="N51" s="622"/>
      <c r="O51" s="622"/>
      <c r="P51" s="622"/>
      <c r="Q51" s="288"/>
      <c r="R51" s="286"/>
      <c r="S51" s="443"/>
      <c r="T51" s="287"/>
      <c r="U51" s="1260" t="str">
        <f>INDEX(PT_DIFFERENTIATION_NUM_CS,MATCH(C51,PT_DIFFERENTIATION_CS_ID,0))</f>
        <v>1..1</v>
      </c>
      <c r="V51" s="244" t="s">
        <v>607</v>
      </c>
      <c r="W51" s="235"/>
      <c r="X51" s="4027"/>
      <c r="Y51" s="4028"/>
      <c r="Z51" s="4028"/>
      <c r="AA51" s="4028"/>
      <c r="AB51" s="4028"/>
      <c r="AC51" s="4028"/>
      <c r="AD51" s="4028"/>
      <c r="AE51" s="4028"/>
      <c r="AF51" s="4029"/>
      <c r="AG51" s="4027" t="str">
        <f>INDEX(PT_DIFFERENTIATION_CS,MATCH(C51,PT_DIFFERENTIATION_CS_ID,0))</f>
        <v>котельная  №16 г. Сафоново, ул. Советская</v>
      </c>
      <c r="AH51" s="4028"/>
      <c r="AI51" s="4028"/>
      <c r="AJ51" s="4028"/>
      <c r="AK51" s="4028"/>
      <c r="AL51" s="4028"/>
      <c r="AM51" s="4028"/>
      <c r="AN51" s="4028"/>
      <c r="AO51" s="4028"/>
      <c r="AP51" s="4029"/>
      <c r="AQ51" s="1182" t="s">
        <v>608</v>
      </c>
      <c r="AS51" s="434"/>
      <c r="AT51" s="434" t="str">
        <f t="shared" si="2"/>
        <v xml:space="preserve">Наименование системы теплоснабжения </v>
      </c>
      <c r="AU51" s="434"/>
      <c r="AV51" s="434"/>
      <c r="AW51" s="1079">
        <v>23</v>
      </c>
    </row>
    <row r="52" spans="1:49" ht="21.95" customHeight="1">
      <c r="A52" s="1191" t="s">
        <v>384</v>
      </c>
      <c r="B52" s="1191" t="s">
        <v>385</v>
      </c>
      <c r="C52" s="1191" t="s">
        <v>386</v>
      </c>
      <c r="D52" s="1191" t="s">
        <v>387</v>
      </c>
      <c r="E52" s="4060"/>
      <c r="F52" s="4060"/>
      <c r="G52" s="4060"/>
      <c r="H52" s="4059">
        <v>1</v>
      </c>
      <c r="I52" s="1191"/>
      <c r="J52" s="1191"/>
      <c r="K52" s="1191"/>
      <c r="L52" s="1191"/>
      <c r="M52" s="1234"/>
      <c r="N52" s="622"/>
      <c r="O52" s="622"/>
      <c r="P52" s="622"/>
      <c r="Q52" s="288"/>
      <c r="R52" s="286"/>
      <c r="S52" s="443"/>
      <c r="T52" s="287"/>
      <c r="U52" s="1260" t="str">
        <f>INDEX(PT_DIFFERENTIATION_NUM_IST_TE,MATCH(D52,PT_DIFFERENTIATION_IST_TE_ID,0))</f>
        <v>1..1.1</v>
      </c>
      <c r="V52" s="245" t="s">
        <v>609</v>
      </c>
      <c r="W52" s="235"/>
      <c r="X52" s="4027"/>
      <c r="Y52" s="4028"/>
      <c r="Z52" s="4028"/>
      <c r="AA52" s="4028"/>
      <c r="AB52" s="4028"/>
      <c r="AC52" s="4028"/>
      <c r="AD52" s="4028"/>
      <c r="AE52" s="4028"/>
      <c r="AF52" s="4029"/>
      <c r="AG52" s="4027" t="str">
        <f>INDEX(PT_DIFFERENTIATION_IST_TE,MATCH(D52,PT_DIFFERENTIATION_IST_TE_ID,0))</f>
        <v>без дифференциации</v>
      </c>
      <c r="AH52" s="4028"/>
      <c r="AI52" s="4028"/>
      <c r="AJ52" s="4028"/>
      <c r="AK52" s="4028"/>
      <c r="AL52" s="4028"/>
      <c r="AM52" s="4028"/>
      <c r="AN52" s="4028"/>
      <c r="AO52" s="4028"/>
      <c r="AP52" s="4029"/>
      <c r="AQ52" s="1182" t="s">
        <v>610</v>
      </c>
      <c r="AS52" s="434"/>
      <c r="AT52" s="434" t="str">
        <f t="shared" si="2"/>
        <v xml:space="preserve">Источник тепловой энергии  </v>
      </c>
      <c r="AU52" s="434"/>
      <c r="AV52" s="434"/>
      <c r="AW52" s="1079">
        <v>21</v>
      </c>
    </row>
    <row r="53" spans="1:49" s="1566" customFormat="1" ht="0" hidden="1" customHeight="1">
      <c r="A53" s="1299" t="s">
        <v>384</v>
      </c>
      <c r="B53" s="1299" t="s">
        <v>385</v>
      </c>
      <c r="C53" s="1299" t="s">
        <v>386</v>
      </c>
      <c r="D53" s="1299" t="s">
        <v>387</v>
      </c>
      <c r="E53" s="4060"/>
      <c r="F53" s="4060"/>
      <c r="G53" s="4060"/>
      <c r="H53" s="4060"/>
      <c r="I53" s="3889" t="str">
        <f>U52&amp;".1"</f>
        <v>1..1.1.1</v>
      </c>
      <c r="J53" s="1299"/>
      <c r="K53" s="1299"/>
      <c r="L53" s="1299"/>
      <c r="M53" s="1305" t="s">
        <v>611</v>
      </c>
      <c r="N53" s="1170"/>
      <c r="O53" s="1170"/>
      <c r="P53" s="1170"/>
      <c r="Q53" s="4037">
        <v>1</v>
      </c>
      <c r="R53" s="1255"/>
      <c r="S53" s="1255"/>
      <c r="T53" s="290"/>
      <c r="U53" s="969"/>
      <c r="V53" s="1307"/>
      <c r="W53" s="1308"/>
      <c r="X53" s="4064"/>
      <c r="Y53" s="4065"/>
      <c r="Z53" s="4065"/>
      <c r="AA53" s="4065"/>
      <c r="AB53" s="4065"/>
      <c r="AC53" s="4065"/>
      <c r="AD53" s="4065"/>
      <c r="AE53" s="4065"/>
      <c r="AF53" s="4066"/>
      <c r="AG53" s="4064"/>
      <c r="AH53" s="4065"/>
      <c r="AI53" s="4065"/>
      <c r="AJ53" s="4065"/>
      <c r="AK53" s="4065"/>
      <c r="AL53" s="4065"/>
      <c r="AM53" s="4065"/>
      <c r="AN53" s="4065"/>
      <c r="AO53" s="4065"/>
      <c r="AP53" s="4066"/>
      <c r="AQ53" s="1309"/>
      <c r="AS53" s="434"/>
      <c r="AT53" s="434" t="str">
        <f t="shared" si="2"/>
        <v/>
      </c>
      <c r="AU53" s="434"/>
      <c r="AV53" s="434"/>
      <c r="AW53" s="445">
        <v>0</v>
      </c>
    </row>
    <row r="54" spans="1:49" ht="21.95" customHeight="1">
      <c r="A54" s="1191" t="s">
        <v>384</v>
      </c>
      <c r="B54" s="1191" t="s">
        <v>385</v>
      </c>
      <c r="C54" s="1191" t="s">
        <v>386</v>
      </c>
      <c r="D54" s="1191" t="s">
        <v>387</v>
      </c>
      <c r="E54" s="4060"/>
      <c r="F54" s="4060"/>
      <c r="G54" s="4060"/>
      <c r="H54" s="4060"/>
      <c r="I54" s="3870"/>
      <c r="J54" s="3889" t="str">
        <f>I53&amp;".1"</f>
        <v>1..1.1.1.1</v>
      </c>
      <c r="K54" s="1191"/>
      <c r="L54" s="1191"/>
      <c r="M54" s="1234" t="s">
        <v>614</v>
      </c>
      <c r="Q54" s="4037"/>
      <c r="R54" s="4037">
        <v>1</v>
      </c>
      <c r="S54" s="452"/>
      <c r="T54" s="291"/>
      <c r="U54" s="1260" t="str">
        <f>$J54</f>
        <v>1..1.1.1.1</v>
      </c>
      <c r="V54" s="221" t="s">
        <v>615</v>
      </c>
      <c r="W54" s="235"/>
      <c r="X54" s="4021"/>
      <c r="Y54" s="4022"/>
      <c r="Z54" s="4022"/>
      <c r="AA54" s="4022"/>
      <c r="AB54" s="4022"/>
      <c r="AC54" s="4017"/>
      <c r="AD54" s="4017"/>
      <c r="AE54" s="4017"/>
      <c r="AF54" s="4077"/>
      <c r="AG54" s="4021" t="s">
        <v>654</v>
      </c>
      <c r="AH54" s="4022"/>
      <c r="AI54" s="4022"/>
      <c r="AJ54" s="4022"/>
      <c r="AK54" s="4022"/>
      <c r="AL54" s="4022"/>
      <c r="AM54" s="4022"/>
      <c r="AN54" s="4022"/>
      <c r="AO54" s="4022"/>
      <c r="AP54" s="4023"/>
      <c r="AQ54" s="1182" t="s">
        <v>616</v>
      </c>
      <c r="AS54" s="434"/>
      <c r="AT54" s="434" t="str">
        <f t="shared" si="2"/>
        <v>Группа потребителей</v>
      </c>
      <c r="AU54" s="434"/>
      <c r="AV54" s="434"/>
      <c r="AW54" s="1079">
        <v>21</v>
      </c>
    </row>
    <row r="55" spans="1:49" ht="21.95" customHeight="1">
      <c r="A55" s="1191" t="s">
        <v>384</v>
      </c>
      <c r="B55" s="1191" t="s">
        <v>385</v>
      </c>
      <c r="C55" s="1191" t="s">
        <v>386</v>
      </c>
      <c r="D55" s="1191" t="s">
        <v>387</v>
      </c>
      <c r="E55" s="4060"/>
      <c r="F55" s="4060"/>
      <c r="G55" s="4060"/>
      <c r="H55" s="4060"/>
      <c r="I55" s="3870"/>
      <c r="J55" s="3870"/>
      <c r="K55" s="3889" t="str">
        <f>J54&amp;".1"</f>
        <v>1..1.1.1.1.1</v>
      </c>
      <c r="L55" s="76"/>
      <c r="M55" s="1234" t="s">
        <v>617</v>
      </c>
      <c r="Q55" s="4037"/>
      <c r="R55" s="4037"/>
      <c r="S55" s="452">
        <v>1</v>
      </c>
      <c r="T55" s="291"/>
      <c r="U55" s="1260" t="str">
        <f>$K55</f>
        <v>1..1.1.1.1.1</v>
      </c>
      <c r="V55" s="1271" t="s">
        <v>654</v>
      </c>
      <c r="W55" s="235"/>
      <c r="X55" s="685"/>
      <c r="Y55" s="685"/>
      <c r="Z55" s="685"/>
      <c r="AA55" s="685"/>
      <c r="AB55" s="1329"/>
      <c r="AC55" s="4038"/>
      <c r="AD55" s="3899" t="s">
        <v>53</v>
      </c>
      <c r="AE55" s="4038"/>
      <c r="AF55" s="3899" t="s">
        <v>53</v>
      </c>
      <c r="AG55" s="1331"/>
      <c r="AH55" s="685">
        <v>287.98</v>
      </c>
      <c r="AI55" s="685">
        <v>4757.6499999999996</v>
      </c>
      <c r="AJ55" s="685"/>
      <c r="AK55" s="1181"/>
      <c r="AL55" s="4038">
        <v>46023.445532407408</v>
      </c>
      <c r="AM55" s="3899" t="s">
        <v>53</v>
      </c>
      <c r="AN55" s="4038">
        <v>46387.445625</v>
      </c>
      <c r="AO55" s="3899" t="s">
        <v>53</v>
      </c>
      <c r="AP55" s="1272"/>
      <c r="AQ55" s="1231" t="s">
        <v>661</v>
      </c>
      <c r="AR55" s="445" t="e">
        <f ca="1">STRCHECKDATE(X57:AP57)</f>
        <v>#NAME?</v>
      </c>
      <c r="AS55" s="434"/>
      <c r="AT55" s="434" t="str">
        <f t="shared" si="2"/>
        <v>без дифференциации</v>
      </c>
      <c r="AU55" s="434"/>
      <c r="AV55" s="434"/>
      <c r="AW55" s="1079">
        <v>21</v>
      </c>
    </row>
    <row r="56" spans="1:49" ht="11.45" customHeight="1">
      <c r="A56" s="1191" t="s">
        <v>384</v>
      </c>
      <c r="B56" s="1191" t="s">
        <v>385</v>
      </c>
      <c r="C56" s="1191" t="s">
        <v>386</v>
      </c>
      <c r="D56" s="1191" t="s">
        <v>387</v>
      </c>
      <c r="E56" s="4060"/>
      <c r="F56" s="4060"/>
      <c r="G56" s="4060"/>
      <c r="H56" s="4060"/>
      <c r="I56" s="3870"/>
      <c r="J56" s="3870"/>
      <c r="K56" s="3870"/>
      <c r="L56" s="3889" t="str">
        <f>K55&amp;".1"</f>
        <v>1..1.1.1.1.1.1</v>
      </c>
      <c r="M56" s="1234"/>
      <c r="Q56" s="4037"/>
      <c r="R56" s="4037"/>
      <c r="S56" s="452">
        <v>1</v>
      </c>
      <c r="T56" s="291"/>
      <c r="U56" s="1260" t="str">
        <f>$L56</f>
        <v>1..1.1.1.1.1.1</v>
      </c>
      <c r="V56" s="1315"/>
      <c r="W56" s="235"/>
      <c r="X56" s="260"/>
      <c r="Y56" s="685"/>
      <c r="Z56" s="685"/>
      <c r="AA56" s="685"/>
      <c r="AB56" s="1329"/>
      <c r="AC56" s="4039"/>
      <c r="AD56" s="3899"/>
      <c r="AE56" s="4039"/>
      <c r="AF56" s="3899"/>
      <c r="AG56" s="1331"/>
      <c r="AH56" s="685"/>
      <c r="AI56" s="685"/>
      <c r="AJ56" s="685"/>
      <c r="AK56" s="1181"/>
      <c r="AL56" s="4039"/>
      <c r="AM56" s="3899"/>
      <c r="AN56" s="4039"/>
      <c r="AO56" s="3899"/>
      <c r="AP56" s="1272"/>
      <c r="AQ56" s="4056" t="s">
        <v>662</v>
      </c>
      <c r="AR56" s="445" t="e">
        <f ca="1">STRCHECKDATE(X58:AP58)</f>
        <v>#NAME?</v>
      </c>
      <c r="AS56" s="434"/>
      <c r="AT56" s="434" t="str">
        <f t="shared" si="2"/>
        <v/>
      </c>
      <c r="AU56" s="434"/>
      <c r="AV56" s="434"/>
      <c r="AW56" s="1079">
        <v>11</v>
      </c>
    </row>
    <row r="57" spans="1:49" ht="0" hidden="1" customHeight="1">
      <c r="A57" s="1191" t="s">
        <v>384</v>
      </c>
      <c r="B57" s="1191" t="s">
        <v>385</v>
      </c>
      <c r="C57" s="1191" t="s">
        <v>386</v>
      </c>
      <c r="D57" s="1191" t="s">
        <v>387</v>
      </c>
      <c r="E57" s="4060"/>
      <c r="F57" s="4060"/>
      <c r="G57" s="4060"/>
      <c r="H57" s="4060"/>
      <c r="I57" s="3870"/>
      <c r="J57" s="3870"/>
      <c r="K57" s="3870"/>
      <c r="L57" s="3889"/>
      <c r="M57" s="1234"/>
      <c r="Q57" s="4037"/>
      <c r="R57" s="4037"/>
      <c r="S57" s="452"/>
      <c r="T57" s="291"/>
      <c r="U57" s="1266"/>
      <c r="V57" s="235"/>
      <c r="W57" s="235"/>
      <c r="X57" s="260"/>
      <c r="Y57" s="260"/>
      <c r="Z57" s="260"/>
      <c r="AA57" s="260"/>
      <c r="AB57" s="1330" t="str">
        <f>AC55&amp;"-"&amp;AE55</f>
        <v>-</v>
      </c>
      <c r="AC57" s="4039"/>
      <c r="AD57" s="3899"/>
      <c r="AE57" s="4039"/>
      <c r="AF57" s="3899"/>
      <c r="AG57" s="1306"/>
      <c r="AH57" s="260"/>
      <c r="AI57" s="260"/>
      <c r="AJ57" s="260"/>
      <c r="AK57" s="263" t="str">
        <f>AL55&amp;"-"&amp;AN55</f>
        <v>46023,4455324074-46387,445625</v>
      </c>
      <c r="AL57" s="4039"/>
      <c r="AM57" s="3899"/>
      <c r="AN57" s="4039"/>
      <c r="AO57" s="3899"/>
      <c r="AP57" s="1273"/>
      <c r="AQ57" s="4057"/>
      <c r="AS57" s="434"/>
      <c r="AT57" s="434" t="str">
        <f t="shared" si="2"/>
        <v/>
      </c>
      <c r="AU57" s="434"/>
      <c r="AV57" s="434"/>
      <c r="AW57" s="1079">
        <v>0</v>
      </c>
    </row>
    <row r="58" spans="1:49" ht="11.45" customHeight="1">
      <c r="A58" s="1191" t="s">
        <v>384</v>
      </c>
      <c r="B58" s="1191" t="s">
        <v>385</v>
      </c>
      <c r="C58" s="1191" t="s">
        <v>386</v>
      </c>
      <c r="D58" s="1191" t="s">
        <v>387</v>
      </c>
      <c r="E58" s="4060"/>
      <c r="F58" s="4060"/>
      <c r="G58" s="4060"/>
      <c r="H58" s="4060"/>
      <c r="I58" s="3870"/>
      <c r="J58" s="3870"/>
      <c r="K58" s="3889"/>
      <c r="L58" s="1191"/>
      <c r="M58" s="1234"/>
      <c r="Q58" s="4037"/>
      <c r="R58" s="4037"/>
      <c r="S58" s="1255"/>
      <c r="T58" s="290"/>
      <c r="U58" s="1202"/>
      <c r="V58" s="223" t="s">
        <v>663</v>
      </c>
      <c r="W58" s="301"/>
      <c r="X58" s="301"/>
      <c r="Y58" s="301"/>
      <c r="Z58" s="301"/>
      <c r="AA58" s="301"/>
      <c r="AB58" s="301"/>
      <c r="AC58" s="4039"/>
      <c r="AD58" s="3899"/>
      <c r="AE58" s="4039"/>
      <c r="AF58" s="3899"/>
      <c r="AG58" s="301"/>
      <c r="AH58" s="301"/>
      <c r="AI58" s="301"/>
      <c r="AJ58" s="301"/>
      <c r="AK58" s="301"/>
      <c r="AL58" s="4039"/>
      <c r="AM58" s="3899"/>
      <c r="AN58" s="4039"/>
      <c r="AO58" s="3899"/>
      <c r="AP58" s="259"/>
      <c r="AQ58" s="4057"/>
      <c r="AS58" s="434"/>
      <c r="AT58" s="434" t="str">
        <f t="shared" si="2"/>
        <v>Добавить наименование поставщика</v>
      </c>
      <c r="AU58" s="434"/>
      <c r="AV58" s="434"/>
      <c r="AW58" s="1079">
        <v>11</v>
      </c>
    </row>
    <row r="59" spans="1:49" ht="11.45" customHeight="1">
      <c r="A59" s="1191" t="s">
        <v>384</v>
      </c>
      <c r="B59" s="1191" t="s">
        <v>385</v>
      </c>
      <c r="C59" s="1191" t="s">
        <v>386</v>
      </c>
      <c r="D59" s="1191" t="s">
        <v>387</v>
      </c>
      <c r="E59" s="4060"/>
      <c r="F59" s="4060"/>
      <c r="G59" s="4060"/>
      <c r="H59" s="4060"/>
      <c r="I59" s="3870"/>
      <c r="J59" s="3889"/>
      <c r="K59" s="1191"/>
      <c r="L59" s="1191"/>
      <c r="M59" s="1234"/>
      <c r="Q59" s="4037"/>
      <c r="R59" s="4037"/>
      <c r="S59" s="1255"/>
      <c r="T59" s="290"/>
      <c r="U59" s="1202"/>
      <c r="V59" s="222" t="s">
        <v>619</v>
      </c>
      <c r="W59" s="301"/>
      <c r="X59" s="301"/>
      <c r="Y59" s="301"/>
      <c r="Z59" s="301"/>
      <c r="AA59" s="301"/>
      <c r="AB59" s="301"/>
      <c r="AC59" s="1332"/>
      <c r="AD59" s="1332"/>
      <c r="AE59" s="1332"/>
      <c r="AF59" s="1332"/>
      <c r="AG59" s="301"/>
      <c r="AH59" s="301"/>
      <c r="AI59" s="301"/>
      <c r="AJ59" s="301"/>
      <c r="AK59" s="301"/>
      <c r="AL59" s="301"/>
      <c r="AM59" s="301"/>
      <c r="AN59" s="301"/>
      <c r="AO59" s="301"/>
      <c r="AP59" s="259"/>
      <c r="AQ59" s="4058"/>
      <c r="AS59" s="434"/>
      <c r="AT59" s="434" t="str">
        <f t="shared" si="2"/>
        <v>Добавить вид теплоносителя (параметры теплоносителя)</v>
      </c>
      <c r="AU59" s="434"/>
      <c r="AV59" s="434"/>
      <c r="AW59" s="1079">
        <v>11</v>
      </c>
    </row>
    <row r="60" spans="1:49" ht="11.45" customHeight="1">
      <c r="A60" s="1191" t="s">
        <v>384</v>
      </c>
      <c r="B60" s="1191" t="s">
        <v>385</v>
      </c>
      <c r="C60" s="1191" t="s">
        <v>386</v>
      </c>
      <c r="D60" s="1191" t="s">
        <v>387</v>
      </c>
      <c r="E60" s="4060"/>
      <c r="F60" s="4060"/>
      <c r="G60" s="4060"/>
      <c r="H60" s="4060"/>
      <c r="I60" s="3889"/>
      <c r="J60" s="1191"/>
      <c r="K60" s="1191"/>
      <c r="L60" s="1191"/>
      <c r="M60" s="1234"/>
      <c r="Q60" s="4037"/>
      <c r="R60" s="1255"/>
      <c r="S60" s="1255"/>
      <c r="T60" s="290"/>
      <c r="U60" s="1202"/>
      <c r="V60" s="299" t="s">
        <v>620</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9">
        <v>11</v>
      </c>
    </row>
    <row r="61" spans="1:49" ht="0" hidden="1" customHeight="1">
      <c r="A61" s="1191" t="s">
        <v>384</v>
      </c>
      <c r="B61" s="1191" t="s">
        <v>385</v>
      </c>
      <c r="C61" s="1191" t="s">
        <v>386</v>
      </c>
      <c r="D61" s="1191" t="s">
        <v>387</v>
      </c>
      <c r="E61" s="4060"/>
      <c r="F61" s="4060"/>
      <c r="G61" s="4060"/>
      <c r="H61" s="4059"/>
      <c r="I61" s="1191"/>
      <c r="J61" s="1191"/>
      <c r="K61" s="1191"/>
      <c r="L61" s="1191"/>
      <c r="M61" s="1234"/>
      <c r="N61" s="622"/>
      <c r="O61" s="622"/>
      <c r="P61" s="443"/>
      <c r="Q61" s="294"/>
      <c r="R61" s="309"/>
      <c r="S61" s="289"/>
      <c r="T61" s="294"/>
      <c r="U61" s="1310"/>
      <c r="V61" s="1311"/>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3"/>
      <c r="AS61" s="434"/>
      <c r="AT61" s="434" t="str">
        <f t="shared" si="2"/>
        <v/>
      </c>
      <c r="AU61" s="434"/>
      <c r="AV61" s="434"/>
      <c r="AW61" s="1079">
        <v>0</v>
      </c>
    </row>
    <row r="62" spans="1:49" s="1566" customFormat="1" ht="0" hidden="1" customHeight="1">
      <c r="A62" s="1299" t="s">
        <v>384</v>
      </c>
      <c r="B62" s="1299" t="s">
        <v>385</v>
      </c>
      <c r="C62" s="1299" t="s">
        <v>386</v>
      </c>
      <c r="D62" s="1298"/>
      <c r="E62" s="4060"/>
      <c r="F62" s="4060"/>
      <c r="G62" s="4059"/>
      <c r="H62" s="1298"/>
      <c r="I62" s="1298"/>
      <c r="J62" s="1298"/>
      <c r="K62" s="1298"/>
      <c r="L62" s="1298"/>
      <c r="M62" s="1301"/>
      <c r="N62" s="1302"/>
      <c r="O62" s="1302"/>
      <c r="P62" s="285"/>
      <c r="Q62" s="1240"/>
      <c r="R62" s="1241"/>
      <c r="S62" s="1240"/>
      <c r="T62" s="1240"/>
      <c r="U62" s="1246"/>
      <c r="V62" s="1249" t="s">
        <v>235</v>
      </c>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S62" s="717"/>
      <c r="AT62" s="717" t="str">
        <f t="shared" si="2"/>
        <v>Добавить источник для дифференциации</v>
      </c>
      <c r="AU62" s="717"/>
      <c r="AV62" s="717"/>
      <c r="AW62" s="452">
        <v>0</v>
      </c>
    </row>
    <row r="63" spans="1:49" s="1566" customFormat="1" ht="0" hidden="1" customHeight="1">
      <c r="A63" s="1299" t="s">
        <v>384</v>
      </c>
      <c r="B63" s="1299" t="s">
        <v>385</v>
      </c>
      <c r="C63" s="1298"/>
      <c r="D63" s="1298"/>
      <c r="E63" s="4060"/>
      <c r="F63" s="4059"/>
      <c r="G63" s="1298"/>
      <c r="H63" s="1298"/>
      <c r="I63" s="1298"/>
      <c r="J63" s="1298"/>
      <c r="K63" s="1298"/>
      <c r="L63" s="1298"/>
      <c r="M63" s="1301"/>
      <c r="N63" s="1303"/>
      <c r="O63" s="1303"/>
      <c r="P63" s="285"/>
      <c r="Q63" s="1240"/>
      <c r="R63" s="1241"/>
      <c r="S63" s="1240"/>
      <c r="T63" s="1240"/>
      <c r="U63" s="1246"/>
      <c r="V63" s="1249" t="s">
        <v>236</v>
      </c>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S63" s="717"/>
      <c r="AT63" s="717" t="str">
        <f t="shared" si="2"/>
        <v>Добавить централизованную систему для дифференциации</v>
      </c>
      <c r="AU63" s="717"/>
      <c r="AV63" s="717"/>
      <c r="AW63" s="452">
        <v>0</v>
      </c>
    </row>
    <row r="64" spans="1:49" s="1566" customFormat="1" ht="0" hidden="1" customHeight="1">
      <c r="A64" s="1299" t="s">
        <v>384</v>
      </c>
      <c r="B64" s="1299"/>
      <c r="C64" s="1299"/>
      <c r="D64" s="1299"/>
      <c r="E64" s="4059"/>
      <c r="F64" s="1299"/>
      <c r="G64" s="1299"/>
      <c r="H64" s="1299"/>
      <c r="I64" s="1299"/>
      <c r="J64" s="1299"/>
      <c r="K64" s="1299"/>
      <c r="L64" s="1299"/>
      <c r="M64" s="1305"/>
      <c r="N64" s="1303"/>
      <c r="O64" s="1303"/>
      <c r="P64" s="285"/>
      <c r="Q64" s="314"/>
      <c r="R64" s="1268"/>
      <c r="S64" s="314"/>
      <c r="T64" s="314"/>
      <c r="U64" s="1246"/>
      <c r="V64" s="1249" t="s">
        <v>286</v>
      </c>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S64" s="434"/>
      <c r="AT64" s="434" t="str">
        <f t="shared" si="2"/>
        <v>Добавить территорию для дифференциации</v>
      </c>
      <c r="AU64" s="434"/>
      <c r="AV64" s="434"/>
      <c r="AW64" s="445">
        <v>0</v>
      </c>
    </row>
    <row r="65" spans="1:49" s="1566" customFormat="1" ht="4.1500000000000004" customHeight="1">
      <c r="A65" s="1298"/>
      <c r="B65" s="1298"/>
      <c r="C65" s="1298"/>
      <c r="D65" s="1298"/>
      <c r="E65" s="1299"/>
      <c r="F65" s="1298"/>
      <c r="G65" s="1298"/>
      <c r="H65" s="1298"/>
      <c r="I65" s="1298"/>
      <c r="J65" s="1298"/>
      <c r="K65" s="1298"/>
      <c r="L65" s="1298"/>
      <c r="M65" s="1301"/>
      <c r="N65" s="1303"/>
      <c r="O65" s="1303"/>
      <c r="P65" s="285"/>
      <c r="Q65" s="1240"/>
      <c r="R65" s="1241"/>
      <c r="S65" s="1240"/>
      <c r="T65" s="1240"/>
      <c r="U65" s="1246"/>
      <c r="V65" s="1249" t="s">
        <v>287</v>
      </c>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S65" s="717"/>
      <c r="AT65" s="717" t="str">
        <f t="shared" si="2"/>
        <v>Добавить наименование тарифа</v>
      </c>
      <c r="AU65" s="717"/>
      <c r="AV65" s="717"/>
      <c r="AW65" s="452">
        <v>4</v>
      </c>
    </row>
    <row r="66" spans="1:49" ht="11.45" customHeight="1">
      <c r="N66" s="1079"/>
      <c r="O66" s="1079"/>
      <c r="P66" s="443"/>
      <c r="Q66" s="1079"/>
      <c r="R66" s="1079"/>
      <c r="S66" s="1079"/>
      <c r="T66" s="1079"/>
      <c r="U66" s="1079"/>
      <c r="AR66" s="1079"/>
      <c r="AS66" s="1079"/>
      <c r="AT66" s="1079"/>
      <c r="AU66" s="1079"/>
      <c r="AV66" s="1079"/>
      <c r="AW66" s="1079">
        <v>11</v>
      </c>
    </row>
    <row r="67" spans="1:49" ht="35.65" customHeight="1">
      <c r="P67" s="443"/>
      <c r="U67" s="1177"/>
      <c r="V67" s="4032"/>
      <c r="W67" s="4032"/>
      <c r="X67" s="4032"/>
      <c r="Y67" s="4032"/>
      <c r="Z67" s="4032"/>
      <c r="AA67" s="4032"/>
      <c r="AB67" s="4032"/>
      <c r="AC67" s="4032"/>
      <c r="AD67" s="4032"/>
      <c r="AE67" s="4032"/>
      <c r="AF67" s="4032"/>
      <c r="AG67" s="4032"/>
      <c r="AH67" s="4032"/>
      <c r="AI67" s="4032"/>
      <c r="AJ67" s="4032"/>
      <c r="AK67" s="4032"/>
      <c r="AL67" s="4032"/>
      <c r="AM67" s="4032"/>
      <c r="AN67" s="4032"/>
      <c r="AO67" s="4032"/>
      <c r="AP67" s="4032"/>
      <c r="AQ67" s="4032"/>
      <c r="AW67" s="1079">
        <v>34</v>
      </c>
    </row>
    <row r="68" spans="1:49" ht="21" customHeight="1">
      <c r="P68" s="443"/>
      <c r="V68" s="4032"/>
      <c r="W68" s="4032"/>
      <c r="X68" s="4032"/>
      <c r="Y68" s="4032"/>
      <c r="Z68" s="4032"/>
      <c r="AA68" s="4032"/>
      <c r="AB68" s="4032"/>
      <c r="AC68" s="4032"/>
      <c r="AD68" s="4032"/>
      <c r="AE68" s="4032"/>
      <c r="AF68" s="4032"/>
      <c r="AG68" s="4032"/>
      <c r="AH68" s="4032"/>
      <c r="AI68" s="4032"/>
      <c r="AJ68" s="4032"/>
      <c r="AK68" s="4032"/>
      <c r="AL68" s="4032"/>
      <c r="AM68" s="4032"/>
      <c r="AN68" s="4032"/>
      <c r="AO68" s="4032"/>
      <c r="AP68" s="4032"/>
      <c r="AQ68" s="4032"/>
      <c r="AW68" s="1079">
        <v>20</v>
      </c>
    </row>
    <row r="69" spans="1:49" ht="14.65" customHeight="1">
      <c r="P69" s="443"/>
      <c r="AW69" s="1079">
        <v>14</v>
      </c>
    </row>
    <row r="70" spans="1:49" ht="28.5" customHeight="1">
      <c r="P70" s="443"/>
      <c r="V70" s="4032"/>
      <c r="W70" s="4032"/>
      <c r="X70" s="4032"/>
      <c r="Y70" s="4032"/>
      <c r="Z70" s="4032"/>
      <c r="AA70" s="4032"/>
      <c r="AB70" s="4032"/>
      <c r="AC70" s="4032"/>
      <c r="AD70" s="4032"/>
      <c r="AE70" s="4032"/>
      <c r="AF70" s="4032"/>
      <c r="AG70" s="4032"/>
      <c r="AH70" s="4032"/>
      <c r="AI70" s="4032"/>
      <c r="AJ70" s="4032"/>
      <c r="AK70" s="4032"/>
      <c r="AL70" s="4032"/>
      <c r="AM70" s="4032"/>
      <c r="AN70" s="4032"/>
      <c r="AO70" s="4032"/>
      <c r="AP70" s="4032"/>
      <c r="AQ70" s="4032"/>
      <c r="AW70" s="1079">
        <v>27</v>
      </c>
    </row>
    <row r="71" spans="1:49" ht="18.75" customHeight="1">
      <c r="P71" s="443"/>
      <c r="V71" s="4032"/>
      <c r="W71" s="4032"/>
      <c r="X71" s="4032"/>
      <c r="Y71" s="4032"/>
      <c r="Z71" s="4032"/>
      <c r="AA71" s="4032"/>
      <c r="AB71" s="4032"/>
      <c r="AC71" s="4032"/>
      <c r="AD71" s="4032"/>
      <c r="AE71" s="4032"/>
      <c r="AF71" s="4032"/>
      <c r="AG71" s="4032"/>
      <c r="AH71" s="4032"/>
      <c r="AI71" s="4032"/>
      <c r="AJ71" s="4032"/>
      <c r="AK71" s="4032"/>
      <c r="AL71" s="4032"/>
      <c r="AM71" s="4032"/>
      <c r="AN71" s="4032"/>
      <c r="AO71" s="4032"/>
      <c r="AP71" s="4032"/>
      <c r="AQ71" s="4032"/>
      <c r="AW71" s="1079">
        <v>18</v>
      </c>
    </row>
    <row r="72" spans="1:49" ht="22.5" hidden="1" customHeight="1">
      <c r="A72" s="1079" t="s">
        <v>69</v>
      </c>
      <c r="B72" s="1079">
        <v>0</v>
      </c>
      <c r="C72" s="1079">
        <v>0</v>
      </c>
      <c r="D72" s="1079">
        <v>0</v>
      </c>
      <c r="E72" s="1079">
        <v>0</v>
      </c>
      <c r="F72" s="1079">
        <v>0</v>
      </c>
      <c r="G72" s="1079">
        <v>0</v>
      </c>
      <c r="H72" s="1079">
        <v>0</v>
      </c>
      <c r="I72" s="1079">
        <v>0</v>
      </c>
      <c r="J72" s="1079">
        <v>0</v>
      </c>
      <c r="K72" s="1079">
        <v>0</v>
      </c>
      <c r="L72" s="1079">
        <v>0</v>
      </c>
      <c r="M72" s="1251">
        <v>0</v>
      </c>
      <c r="N72" s="1252">
        <v>0</v>
      </c>
      <c r="O72" s="1252">
        <v>0</v>
      </c>
      <c r="P72" s="1252">
        <v>0</v>
      </c>
      <c r="Q72" s="1252">
        <v>0</v>
      </c>
      <c r="R72" s="279">
        <v>3</v>
      </c>
      <c r="S72" s="279">
        <v>3</v>
      </c>
      <c r="T72" s="279">
        <v>3</v>
      </c>
      <c r="U72" s="515">
        <v>12</v>
      </c>
      <c r="V72" s="1079">
        <v>31</v>
      </c>
      <c r="W72" s="1079">
        <v>0</v>
      </c>
      <c r="X72" s="1079">
        <v>0</v>
      </c>
      <c r="Y72" s="1079">
        <v>0</v>
      </c>
      <c r="Z72" s="1079">
        <v>0</v>
      </c>
      <c r="AA72" s="1079">
        <v>0</v>
      </c>
      <c r="AB72" s="1079">
        <v>0</v>
      </c>
      <c r="AC72" s="1079">
        <v>0</v>
      </c>
      <c r="AD72" s="1079">
        <v>0</v>
      </c>
      <c r="AE72" s="1079">
        <v>0</v>
      </c>
      <c r="AF72" s="1079">
        <v>0</v>
      </c>
      <c r="AG72" s="1079">
        <v>21</v>
      </c>
      <c r="AH72" s="1079">
        <v>21</v>
      </c>
      <c r="AI72" s="1079">
        <v>21</v>
      </c>
      <c r="AJ72" s="1079">
        <v>21</v>
      </c>
      <c r="AK72" s="1079">
        <v>21</v>
      </c>
      <c r="AL72" s="1079">
        <v>11</v>
      </c>
      <c r="AM72" s="1079">
        <v>3</v>
      </c>
      <c r="AN72" s="1079">
        <v>11</v>
      </c>
      <c r="AO72" s="1079">
        <v>8</v>
      </c>
      <c r="AP72" s="1079">
        <v>4</v>
      </c>
      <c r="AQ72" s="1079">
        <v>115</v>
      </c>
      <c r="AR72" s="445">
        <v>10</v>
      </c>
      <c r="AS72" s="445">
        <v>10</v>
      </c>
      <c r="AT72" s="445">
        <v>10</v>
      </c>
      <c r="AU72" s="445">
        <v>10</v>
      </c>
      <c r="AV72" s="445">
        <v>10</v>
      </c>
      <c r="AW72" s="1079">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 style="1672" customWidth="1"/>
    <col min="17" max="17" width="3" style="1295" customWidth="1"/>
    <col min="18" max="18" width="3" style="279" customWidth="1"/>
    <col min="19" max="19" width="12" style="1976"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5.42578125" style="1559" customWidth="1"/>
    <col min="29" max="30" width="3" style="1559" customWidth="1"/>
    <col min="31" max="31" width="24" style="1559" customWidth="1"/>
    <col min="32" max="32" width="3.7109375" style="1559" customWidth="1"/>
    <col min="33" max="34" width="3" style="1559" customWidth="1"/>
    <col min="35" max="35" width="24" style="1559" customWidth="1"/>
    <col min="36" max="36" width="3.7109375" style="1559" customWidth="1"/>
    <col min="37" max="38" width="3" style="1559" customWidth="1"/>
    <col min="39" max="39" width="18" style="1559" customWidth="1"/>
    <col min="40" max="41" width="21" style="1559" customWidth="1"/>
    <col min="42" max="42" width="11" style="1559" customWidth="1"/>
    <col min="43" max="43" width="3.7109375" style="1559" customWidth="1"/>
    <col min="44" max="44" width="11" style="1559" customWidth="1"/>
    <col min="45" max="45" width="8.5703125" style="1559" hidden="1" customWidth="1"/>
    <col min="46" max="46" width="4" style="1559" customWidth="1"/>
    <col min="47" max="47" width="115" style="1559" customWidth="1"/>
    <col min="48" max="52" width="10" style="1566" customWidth="1"/>
    <col min="53" max="53" width="10.5703125" style="1559" hidden="1"/>
  </cols>
  <sheetData>
    <row r="1" spans="1:53" ht="22.5" hidden="1" customHeight="1">
      <c r="W1" s="262"/>
      <c r="X1" s="262"/>
      <c r="AO1" s="262"/>
      <c r="AP1" s="262"/>
      <c r="BA1" s="1079" t="s">
        <v>1</v>
      </c>
    </row>
    <row r="2" spans="1:53" ht="21" hidden="1" customHeight="1">
      <c r="A2" s="1287"/>
      <c r="B2" s="1287"/>
      <c r="C2" s="1287"/>
      <c r="D2" s="1287"/>
      <c r="E2" s="4033">
        <v>1</v>
      </c>
      <c r="F2" s="1287"/>
      <c r="G2" s="1287"/>
      <c r="H2" s="1287"/>
      <c r="I2" s="1287"/>
      <c r="J2" s="1287"/>
      <c r="K2" s="1287"/>
      <c r="L2" s="1288"/>
      <c r="M2" s="1289"/>
      <c r="N2" s="1289"/>
      <c r="O2" s="1289"/>
      <c r="P2" s="1333"/>
      <c r="Q2" s="801"/>
      <c r="R2" s="289"/>
      <c r="S2" s="1260" t="e">
        <f>INDEX(PT_DIFFERENTIATION_NUM_NTAR,MATCH(A2,PT_DIFFERENTIATION_NTAR_ID,0))</f>
        <v>#N/A</v>
      </c>
      <c r="T2" s="233" t="s">
        <v>195</v>
      </c>
      <c r="U2" s="235"/>
      <c r="V2" s="4028"/>
      <c r="W2" s="4028"/>
      <c r="X2" s="4028"/>
      <c r="Y2" s="4028"/>
      <c r="Z2" s="4028"/>
      <c r="AA2" s="4029"/>
      <c r="AB2" s="4027" t="e">
        <f>INDEX(PT_DIFFERENTIATION_NTAR,MATCH(A2,PT_DIFFERENTIATION_NTAR_ID,0))</f>
        <v>#N/A</v>
      </c>
      <c r="AC2" s="4028"/>
      <c r="AD2" s="4028"/>
      <c r="AE2" s="4028"/>
      <c r="AF2" s="4028"/>
      <c r="AG2" s="4028"/>
      <c r="AH2" s="4028"/>
      <c r="AI2" s="4028"/>
      <c r="AJ2" s="4028"/>
      <c r="AK2" s="4028"/>
      <c r="AL2" s="4028"/>
      <c r="AM2" s="4028"/>
      <c r="AN2" s="4028"/>
      <c r="AO2" s="4028"/>
      <c r="AP2" s="4028"/>
      <c r="AQ2" s="4028"/>
      <c r="AR2" s="4028"/>
      <c r="AS2" s="4028"/>
      <c r="AT2" s="4029"/>
      <c r="AU2" s="1182" t="s">
        <v>604</v>
      </c>
      <c r="AW2" s="434"/>
      <c r="AX2" s="434" t="str">
        <f t="shared" ref="AX2:AX8" si="0">IF(T2="","",T2)</f>
        <v>Наименование тарифа</v>
      </c>
      <c r="AY2" s="434"/>
      <c r="AZ2" s="434"/>
      <c r="BA2" s="1079">
        <v>0</v>
      </c>
    </row>
    <row r="3" spans="1:53" ht="21" hidden="1" customHeight="1">
      <c r="A3" s="1287"/>
      <c r="B3" s="1287"/>
      <c r="C3" s="1287"/>
      <c r="D3" s="1287"/>
      <c r="E3" s="4034"/>
      <c r="F3" s="4033">
        <v>1</v>
      </c>
      <c r="G3" s="1287"/>
      <c r="H3" s="1287"/>
      <c r="I3" s="1287"/>
      <c r="J3" s="1287"/>
      <c r="K3" s="1287"/>
      <c r="L3" s="1288"/>
      <c r="M3" s="1289"/>
      <c r="N3" s="1289"/>
      <c r="O3" s="1289"/>
      <c r="P3" s="1334"/>
      <c r="Q3" s="1335"/>
      <c r="R3" s="287"/>
      <c r="S3" s="1260" t="e">
        <f>INDEX(PT_DIFFERENTIATION_NUM_TER,MATCH(B3,PT_DIFFERENTIATION_TER_ID,0))</f>
        <v>#N/A</v>
      </c>
      <c r="T3" s="243" t="s">
        <v>605</v>
      </c>
      <c r="U3" s="235"/>
      <c r="V3" s="4028"/>
      <c r="W3" s="4028"/>
      <c r="X3" s="4028"/>
      <c r="Y3" s="4028"/>
      <c r="Z3" s="4028"/>
      <c r="AA3" s="4029"/>
      <c r="AB3" s="4027" t="e">
        <f>INDEX(PT_DIFFERENTIATION_TER,MATCH(B3,PT_DIFFERENTIATION_TER_ID,0))</f>
        <v>#N/A</v>
      </c>
      <c r="AC3" s="4028"/>
      <c r="AD3" s="4028"/>
      <c r="AE3" s="4028"/>
      <c r="AF3" s="4028"/>
      <c r="AG3" s="4028"/>
      <c r="AH3" s="4028"/>
      <c r="AI3" s="4028"/>
      <c r="AJ3" s="4028"/>
      <c r="AK3" s="4028"/>
      <c r="AL3" s="4028"/>
      <c r="AM3" s="4028"/>
      <c r="AN3" s="4028"/>
      <c r="AO3" s="4028"/>
      <c r="AP3" s="4028"/>
      <c r="AQ3" s="4028"/>
      <c r="AR3" s="4028"/>
      <c r="AS3" s="4028"/>
      <c r="AT3" s="4029"/>
      <c r="AU3" s="1182" t="s">
        <v>606</v>
      </c>
      <c r="AW3" s="434"/>
      <c r="AX3" s="434" t="str">
        <f t="shared" si="0"/>
        <v>Территория действия тарифа</v>
      </c>
      <c r="AY3" s="434"/>
      <c r="AZ3" s="434"/>
      <c r="BA3" s="1079">
        <v>0</v>
      </c>
    </row>
    <row r="4" spans="1:53" ht="22.5" hidden="1" customHeight="1">
      <c r="A4" s="1287"/>
      <c r="B4" s="1287"/>
      <c r="C4" s="1287"/>
      <c r="D4" s="1287"/>
      <c r="E4" s="4034"/>
      <c r="F4" s="4034"/>
      <c r="G4" s="4033">
        <v>1</v>
      </c>
      <c r="H4" s="1287"/>
      <c r="I4" s="1287"/>
      <c r="J4" s="1287"/>
      <c r="K4" s="1287"/>
      <c r="L4" s="1288"/>
      <c r="M4" s="1289"/>
      <c r="N4" s="1289"/>
      <c r="O4" s="1289"/>
      <c r="P4" s="1336"/>
      <c r="Q4" s="1335"/>
      <c r="R4" s="287"/>
      <c r="S4" s="1260" t="e">
        <f>INDEX(PT_DIFFERENTIATION_NUM_CS,MATCH(C4,PT_DIFFERENTIATION_CS_ID,0))</f>
        <v>#N/A</v>
      </c>
      <c r="T4" s="244" t="s">
        <v>607</v>
      </c>
      <c r="U4" s="235"/>
      <c r="V4" s="4028"/>
      <c r="W4" s="4028"/>
      <c r="X4" s="4028"/>
      <c r="Y4" s="4028"/>
      <c r="Z4" s="4028"/>
      <c r="AA4" s="4029"/>
      <c r="AB4" s="4027" t="e">
        <f>INDEX(PT_DIFFERENTIATION_CS,MATCH(C4,PT_DIFFERENTIATION_CS_ID,0))</f>
        <v>#N/A</v>
      </c>
      <c r="AC4" s="4028"/>
      <c r="AD4" s="4028"/>
      <c r="AE4" s="4028"/>
      <c r="AF4" s="4028"/>
      <c r="AG4" s="4028"/>
      <c r="AH4" s="4028"/>
      <c r="AI4" s="4028"/>
      <c r="AJ4" s="4028"/>
      <c r="AK4" s="4028"/>
      <c r="AL4" s="4028"/>
      <c r="AM4" s="4028"/>
      <c r="AN4" s="4028"/>
      <c r="AO4" s="4028"/>
      <c r="AP4" s="4028"/>
      <c r="AQ4" s="4028"/>
      <c r="AR4" s="4028"/>
      <c r="AS4" s="4028"/>
      <c r="AT4" s="4029"/>
      <c r="AU4" s="1182" t="s">
        <v>608</v>
      </c>
      <c r="AW4" s="434"/>
      <c r="AX4" s="434" t="str">
        <f t="shared" si="0"/>
        <v xml:space="preserve">Наименование системы теплоснабжения </v>
      </c>
      <c r="AY4" s="434"/>
      <c r="AZ4" s="434"/>
      <c r="BA4" s="1079">
        <v>0</v>
      </c>
    </row>
    <row r="5" spans="1:53" ht="21" hidden="1" customHeight="1">
      <c r="A5" s="1287"/>
      <c r="B5" s="1287"/>
      <c r="C5" s="1287"/>
      <c r="D5" s="1287"/>
      <c r="E5" s="4034"/>
      <c r="F5" s="4034"/>
      <c r="G5" s="4034"/>
      <c r="H5" s="4033">
        <v>1</v>
      </c>
      <c r="I5" s="1287"/>
      <c r="J5" s="1287"/>
      <c r="K5" s="1287"/>
      <c r="L5" s="1288"/>
      <c r="M5" s="1289"/>
      <c r="N5" s="1289"/>
      <c r="O5" s="1289"/>
      <c r="P5" s="1336"/>
      <c r="Q5" s="1335"/>
      <c r="R5" s="287"/>
      <c r="S5" s="1260" t="e">
        <f>INDEX(PT_DIFFERENTIATION_NUM_IST_TE,MATCH(D5,PT_DIFFERENTIATION_IST_TE_ID,0))</f>
        <v>#N/A</v>
      </c>
      <c r="T5" s="245" t="s">
        <v>609</v>
      </c>
      <c r="U5" s="235"/>
      <c r="V5" s="4028"/>
      <c r="W5" s="4028"/>
      <c r="X5" s="4028"/>
      <c r="Y5" s="4028"/>
      <c r="Z5" s="4028"/>
      <c r="AA5" s="4029"/>
      <c r="AB5" s="4027" t="e">
        <f>INDEX(PT_DIFFERENTIATION_IST_TE,MATCH(D5,PT_DIFFERENTIATION_IST_TE_ID,0))</f>
        <v>#N/A</v>
      </c>
      <c r="AC5" s="4028"/>
      <c r="AD5" s="4028"/>
      <c r="AE5" s="4028"/>
      <c r="AF5" s="4028"/>
      <c r="AG5" s="4028"/>
      <c r="AH5" s="4028"/>
      <c r="AI5" s="4028"/>
      <c r="AJ5" s="4028"/>
      <c r="AK5" s="4028"/>
      <c r="AL5" s="4028"/>
      <c r="AM5" s="4028"/>
      <c r="AN5" s="4028"/>
      <c r="AO5" s="4028"/>
      <c r="AP5" s="4028"/>
      <c r="AQ5" s="4028"/>
      <c r="AR5" s="4028"/>
      <c r="AS5" s="4028"/>
      <c r="AT5" s="4029"/>
      <c r="AU5" s="1182" t="s">
        <v>610</v>
      </c>
      <c r="AW5" s="434"/>
      <c r="AX5" s="434" t="str">
        <f t="shared" si="0"/>
        <v xml:space="preserve">Источник тепловой энергии  </v>
      </c>
      <c r="AY5" s="434"/>
      <c r="AZ5" s="434"/>
      <c r="BA5" s="1079">
        <v>0</v>
      </c>
    </row>
    <row r="6" spans="1:53" s="1566" customFormat="1" ht="0.75" hidden="1" customHeight="1">
      <c r="A6" s="1267"/>
      <c r="B6" s="1267"/>
      <c r="C6" s="1267"/>
      <c r="D6" s="1267"/>
      <c r="E6" s="4034"/>
      <c r="F6" s="4034"/>
      <c r="G6" s="4034"/>
      <c r="H6" s="4034"/>
      <c r="I6" s="4035" t="e">
        <f>S5&amp;".1"</f>
        <v>#N/A</v>
      </c>
      <c r="J6" s="1267"/>
      <c r="K6" s="1267"/>
      <c r="L6" s="1270" t="s">
        <v>611</v>
      </c>
      <c r="M6" s="444"/>
      <c r="N6" s="444"/>
      <c r="O6" s="444"/>
      <c r="P6" s="4037">
        <v>1</v>
      </c>
      <c r="Q6" s="1255"/>
      <c r="R6" s="290"/>
      <c r="S6" s="969"/>
      <c r="T6" s="1307"/>
      <c r="U6" s="1308"/>
      <c r="V6" s="4065"/>
      <c r="W6" s="4065"/>
      <c r="X6" s="4065"/>
      <c r="Y6" s="4065"/>
      <c r="Z6" s="4065"/>
      <c r="AA6" s="4066"/>
      <c r="AB6" s="4064"/>
      <c r="AC6" s="4065"/>
      <c r="AD6" s="4065"/>
      <c r="AE6" s="4065"/>
      <c r="AF6" s="4065"/>
      <c r="AG6" s="4065"/>
      <c r="AH6" s="4065"/>
      <c r="AI6" s="4065"/>
      <c r="AJ6" s="4065"/>
      <c r="AK6" s="4065"/>
      <c r="AL6" s="4065"/>
      <c r="AM6" s="4065"/>
      <c r="AN6" s="4065"/>
      <c r="AO6" s="4065"/>
      <c r="AP6" s="4065"/>
      <c r="AQ6" s="4065"/>
      <c r="AR6" s="4065"/>
      <c r="AS6" s="4065"/>
      <c r="AT6" s="4066"/>
      <c r="AU6" s="1309"/>
      <c r="AW6" s="434"/>
      <c r="AX6" s="434" t="str">
        <f t="shared" si="0"/>
        <v/>
      </c>
      <c r="AY6" s="434"/>
      <c r="AZ6" s="434"/>
      <c r="BA6" s="445">
        <v>0</v>
      </c>
    </row>
    <row r="7" spans="1:53" s="1566" customFormat="1" ht="0.75" hidden="1" customHeight="1">
      <c r="A7" s="1267"/>
      <c r="B7" s="1267"/>
      <c r="C7" s="1267"/>
      <c r="D7" s="1267"/>
      <c r="E7" s="4034"/>
      <c r="F7" s="4034"/>
      <c r="G7" s="4034"/>
      <c r="H7" s="4034"/>
      <c r="I7" s="4036"/>
      <c r="J7" s="4035" t="e">
        <f>S5&amp;".1"</f>
        <v>#N/A</v>
      </c>
      <c r="K7" s="1267"/>
      <c r="L7" s="1270"/>
      <c r="M7" s="444"/>
      <c r="N7" s="444"/>
      <c r="O7" s="444"/>
      <c r="P7" s="4037"/>
      <c r="Q7" s="4037">
        <v>1</v>
      </c>
      <c r="R7" s="291"/>
      <c r="S7" s="969"/>
      <c r="T7" s="1323"/>
      <c r="U7" s="1308"/>
      <c r="V7" s="4065"/>
      <c r="W7" s="4065"/>
      <c r="X7" s="4065"/>
      <c r="Y7" s="4065"/>
      <c r="Z7" s="4065"/>
      <c r="AA7" s="4066"/>
      <c r="AB7" s="4064"/>
      <c r="AC7" s="4065"/>
      <c r="AD7" s="4065"/>
      <c r="AE7" s="4065"/>
      <c r="AF7" s="4065"/>
      <c r="AG7" s="4065"/>
      <c r="AH7" s="4065"/>
      <c r="AI7" s="4065"/>
      <c r="AJ7" s="4065"/>
      <c r="AK7" s="4065"/>
      <c r="AL7" s="4065"/>
      <c r="AM7" s="4065"/>
      <c r="AN7" s="4065"/>
      <c r="AO7" s="4065"/>
      <c r="AP7" s="4065"/>
      <c r="AQ7" s="4065"/>
      <c r="AR7" s="4065"/>
      <c r="AS7" s="4065"/>
      <c r="AT7" s="4066"/>
      <c r="AU7" s="1309"/>
      <c r="AW7" s="434"/>
      <c r="AX7" s="434" t="str">
        <f t="shared" si="0"/>
        <v/>
      </c>
      <c r="AY7" s="434"/>
      <c r="AZ7" s="434"/>
      <c r="BA7" s="445">
        <v>0</v>
      </c>
    </row>
    <row r="8" spans="1:53" ht="21" hidden="1" customHeight="1">
      <c r="A8" s="1287"/>
      <c r="B8" s="1287"/>
      <c r="C8" s="1287"/>
      <c r="D8" s="1287"/>
      <c r="E8" s="4034"/>
      <c r="F8" s="4034"/>
      <c r="G8" s="4034"/>
      <c r="H8" s="4034"/>
      <c r="I8" s="4036"/>
      <c r="J8" s="4036"/>
      <c r="K8" s="4035" t="e">
        <f>S5&amp;".1"</f>
        <v>#N/A</v>
      </c>
      <c r="L8" s="1288"/>
      <c r="P8" s="4037"/>
      <c r="Q8" s="4037"/>
      <c r="R8" s="4093">
        <v>1</v>
      </c>
      <c r="S8" s="4090" t="e">
        <f>$K8</f>
        <v>#N/A</v>
      </c>
      <c r="T8" s="4087"/>
      <c r="U8" s="235"/>
      <c r="V8" s="685"/>
      <c r="W8" s="1181"/>
      <c r="X8" s="4038"/>
      <c r="Y8" s="3899" t="s">
        <v>53</v>
      </c>
      <c r="Z8" s="4038"/>
      <c r="AA8" s="3899" t="s">
        <v>53</v>
      </c>
      <c r="AB8" s="3899" t="s">
        <v>6</v>
      </c>
      <c r="AC8" s="4086"/>
      <c r="AD8" s="3991">
        <v>1</v>
      </c>
      <c r="AE8" s="4100"/>
      <c r="AF8" s="3899" t="s">
        <v>6</v>
      </c>
      <c r="AG8" s="4086"/>
      <c r="AH8" s="3991">
        <v>1</v>
      </c>
      <c r="AI8" s="4100"/>
      <c r="AJ8" s="3899" t="s">
        <v>6</v>
      </c>
      <c r="AK8" s="246"/>
      <c r="AL8" s="1261">
        <v>1</v>
      </c>
      <c r="AM8" s="1322"/>
      <c r="AN8" s="685"/>
      <c r="AO8" s="1181"/>
      <c r="AP8" s="1630"/>
      <c r="AQ8" s="1383" t="s">
        <v>53</v>
      </c>
      <c r="AR8" s="1630"/>
      <c r="AS8" s="1383" t="s">
        <v>53</v>
      </c>
      <c r="AT8" s="1272"/>
      <c r="AU8" s="4056" t="s">
        <v>673</v>
      </c>
      <c r="AV8" s="445" t="e">
        <f ca="1">STRCHECKDATE(V11:AT11)</f>
        <v>#NAME?</v>
      </c>
      <c r="AW8" s="434"/>
      <c r="AX8" s="434" t="str">
        <f t="shared" si="0"/>
        <v/>
      </c>
      <c r="AY8" s="434"/>
      <c r="AZ8" s="434"/>
      <c r="BA8" s="1079">
        <v>0</v>
      </c>
    </row>
    <row r="9" spans="1:53" ht="11.25" hidden="1" customHeight="1">
      <c r="A9" s="1287"/>
      <c r="B9" s="1287"/>
      <c r="C9" s="1287"/>
      <c r="D9" s="1287"/>
      <c r="E9" s="4034"/>
      <c r="F9" s="4034"/>
      <c r="G9" s="4034"/>
      <c r="H9" s="4034"/>
      <c r="I9" s="4036"/>
      <c r="J9" s="4036"/>
      <c r="K9" s="4035"/>
      <c r="L9" s="1288"/>
      <c r="P9" s="4037"/>
      <c r="Q9" s="4037"/>
      <c r="R9" s="4093"/>
      <c r="S9" s="4091"/>
      <c r="T9" s="4088"/>
      <c r="U9" s="235"/>
      <c r="V9" s="1317"/>
      <c r="W9" s="1321"/>
      <c r="X9" s="4038"/>
      <c r="Y9" s="3899"/>
      <c r="Z9" s="4038"/>
      <c r="AA9" s="3899"/>
      <c r="AB9" s="3899"/>
      <c r="AC9" s="4086"/>
      <c r="AD9" s="3991"/>
      <c r="AE9" s="4100"/>
      <c r="AF9" s="3899"/>
      <c r="AG9" s="4086"/>
      <c r="AH9" s="3991"/>
      <c r="AI9" s="4100"/>
      <c r="AJ9" s="3899"/>
      <c r="AK9" s="251"/>
      <c r="AL9" s="350"/>
      <c r="AM9" s="349" t="s">
        <v>674</v>
      </c>
      <c r="AN9" s="1317"/>
      <c r="AO9" s="1420"/>
      <c r="AP9" s="1317"/>
      <c r="AQ9" s="1317"/>
      <c r="AR9" s="1317"/>
      <c r="AS9" s="1317"/>
      <c r="AT9" s="1314"/>
      <c r="AU9" s="4057"/>
      <c r="AW9" s="434"/>
      <c r="AX9" s="434"/>
      <c r="AY9" s="434"/>
      <c r="AZ9" s="434"/>
      <c r="BA9" s="1079">
        <v>0</v>
      </c>
    </row>
    <row r="10" spans="1:53" ht="11.25" hidden="1" customHeight="1">
      <c r="A10" s="1287"/>
      <c r="B10" s="1287"/>
      <c r="C10" s="1287"/>
      <c r="D10" s="1287"/>
      <c r="E10" s="4034"/>
      <c r="F10" s="4034"/>
      <c r="G10" s="4034"/>
      <c r="H10" s="4034"/>
      <c r="I10" s="4036"/>
      <c r="J10" s="4036"/>
      <c r="K10" s="4035"/>
      <c r="L10" s="1288"/>
      <c r="P10" s="4037"/>
      <c r="Q10" s="4037"/>
      <c r="R10" s="4093"/>
      <c r="S10" s="4091"/>
      <c r="T10" s="4088"/>
      <c r="U10" s="235"/>
      <c r="V10" s="1317"/>
      <c r="W10" s="1321"/>
      <c r="X10" s="4038"/>
      <c r="Y10" s="3899"/>
      <c r="Z10" s="4038"/>
      <c r="AA10" s="3899"/>
      <c r="AB10" s="3899"/>
      <c r="AC10" s="4086"/>
      <c r="AD10" s="3991"/>
      <c r="AE10" s="4100"/>
      <c r="AF10" s="3899"/>
      <c r="AG10" s="229"/>
      <c r="AH10" s="349"/>
      <c r="AI10" s="349" t="s">
        <v>675</v>
      </c>
      <c r="AJ10" s="1317"/>
      <c r="AK10" s="1317"/>
      <c r="AL10" s="1317"/>
      <c r="AM10" s="1317"/>
      <c r="AN10" s="1317"/>
      <c r="AO10" s="1420"/>
      <c r="AP10" s="1317"/>
      <c r="AQ10" s="1317"/>
      <c r="AR10" s="1317"/>
      <c r="AS10" s="1317"/>
      <c r="AT10" s="1314"/>
      <c r="AU10" s="4057"/>
      <c r="AW10" s="434"/>
      <c r="AX10" s="434"/>
      <c r="AY10" s="434"/>
      <c r="AZ10" s="434"/>
      <c r="BA10" s="1079">
        <v>0</v>
      </c>
    </row>
    <row r="11" spans="1:53" ht="11.25" hidden="1" customHeight="1">
      <c r="A11" s="1287"/>
      <c r="B11" s="1287"/>
      <c r="C11" s="1287"/>
      <c r="D11" s="1287"/>
      <c r="E11" s="4034"/>
      <c r="F11" s="4034"/>
      <c r="G11" s="4034"/>
      <c r="H11" s="4034"/>
      <c r="I11" s="4036"/>
      <c r="J11" s="4036"/>
      <c r="K11" s="4035"/>
      <c r="L11" s="1288"/>
      <c r="P11" s="4037"/>
      <c r="Q11" s="4037"/>
      <c r="R11" s="4093"/>
      <c r="S11" s="4092"/>
      <c r="T11" s="4089"/>
      <c r="U11" s="235"/>
      <c r="V11" s="1317"/>
      <c r="W11" s="1320" t="str">
        <f>X8&amp;"-"&amp;Z8</f>
        <v>-</v>
      </c>
      <c r="X11" s="4039"/>
      <c r="Y11" s="3899"/>
      <c r="Z11" s="4039"/>
      <c r="AA11" s="3899"/>
      <c r="AB11" s="3899"/>
      <c r="AC11" s="247"/>
      <c r="AD11" s="249"/>
      <c r="AE11" s="349" t="s">
        <v>676</v>
      </c>
      <c r="AF11" s="1317"/>
      <c r="AG11" s="1317"/>
      <c r="AH11" s="1317"/>
      <c r="AI11" s="1317"/>
      <c r="AJ11" s="1317"/>
      <c r="AK11" s="1317"/>
      <c r="AL11" s="1317"/>
      <c r="AM11" s="1317"/>
      <c r="AN11" s="1317"/>
      <c r="AO11" s="1318" t="str">
        <f>AP8&amp;"-"&amp;AR8</f>
        <v>-</v>
      </c>
      <c r="AP11" s="1317"/>
      <c r="AQ11" s="1317"/>
      <c r="AR11" s="1317"/>
      <c r="AS11" s="1317"/>
      <c r="AT11" s="1273"/>
      <c r="AU11" s="4057"/>
      <c r="AW11" s="434"/>
      <c r="AX11" s="434" t="str">
        <f t="shared" ref="AX11:AX17" si="1">IF(T11="","",T11)</f>
        <v/>
      </c>
      <c r="AY11" s="434"/>
      <c r="AZ11" s="434"/>
      <c r="BA11" s="1079">
        <v>0</v>
      </c>
    </row>
    <row r="12" spans="1:53" ht="11.25" hidden="1" customHeight="1">
      <c r="A12" s="1287"/>
      <c r="B12" s="1287"/>
      <c r="C12" s="1287"/>
      <c r="D12" s="1287"/>
      <c r="E12" s="4034"/>
      <c r="F12" s="4034"/>
      <c r="G12" s="4034"/>
      <c r="H12" s="4034"/>
      <c r="I12" s="4036"/>
      <c r="J12" s="4035"/>
      <c r="K12" s="1287"/>
      <c r="L12" s="1288"/>
      <c r="P12" s="4037"/>
      <c r="Q12" s="4037"/>
      <c r="R12" s="290"/>
      <c r="S12" s="1202"/>
      <c r="T12" s="222" t="s">
        <v>677</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4058"/>
      <c r="AW12" s="434"/>
      <c r="AX12" s="434" t="str">
        <f t="shared" si="1"/>
        <v>Добавить строку</v>
      </c>
      <c r="AY12" s="434"/>
      <c r="AZ12" s="434"/>
      <c r="BA12" s="1079">
        <v>0</v>
      </c>
    </row>
    <row r="13" spans="1:53" s="1566" customFormat="1" ht="0.75" hidden="1" customHeight="1">
      <c r="A13" s="1267"/>
      <c r="B13" s="1267"/>
      <c r="C13" s="1267"/>
      <c r="D13" s="1267"/>
      <c r="E13" s="4034"/>
      <c r="F13" s="4034"/>
      <c r="G13" s="4034"/>
      <c r="H13" s="4034"/>
      <c r="I13" s="4035"/>
      <c r="J13" s="1267"/>
      <c r="K13" s="1267"/>
      <c r="L13" s="1270"/>
      <c r="M13" s="444"/>
      <c r="N13" s="444"/>
      <c r="O13" s="444"/>
      <c r="P13" s="4037"/>
      <c r="Q13" s="1255"/>
      <c r="R13" s="290"/>
      <c r="S13" s="1310"/>
      <c r="T13" s="131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c r="AT13" s="1312"/>
      <c r="AU13" s="1313"/>
      <c r="AW13" s="434"/>
      <c r="AX13" s="434" t="str">
        <f t="shared" si="1"/>
        <v/>
      </c>
      <c r="AY13" s="434"/>
      <c r="AZ13" s="434"/>
      <c r="BA13" s="445">
        <v>0</v>
      </c>
    </row>
    <row r="14" spans="1:53" s="1566" customFormat="1" ht="0.75" hidden="1" customHeight="1">
      <c r="A14" s="1267"/>
      <c r="B14" s="1267"/>
      <c r="C14" s="1267"/>
      <c r="D14" s="1267"/>
      <c r="E14" s="4034"/>
      <c r="F14" s="4034"/>
      <c r="G14" s="4034"/>
      <c r="H14" s="4033"/>
      <c r="I14" s="1267"/>
      <c r="J14" s="1267"/>
      <c r="K14" s="1267"/>
      <c r="L14" s="1270"/>
      <c r="M14" s="1239"/>
      <c r="N14" s="1239"/>
      <c r="O14" s="452"/>
      <c r="P14" s="314"/>
      <c r="Q14" s="1268"/>
      <c r="R14" s="1325"/>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3"/>
      <c r="AW14" s="434"/>
      <c r="AX14" s="434" t="str">
        <f t="shared" si="1"/>
        <v/>
      </c>
      <c r="AY14" s="434"/>
      <c r="AZ14" s="434"/>
      <c r="BA14" s="445">
        <v>0</v>
      </c>
    </row>
    <row r="15" spans="1:53" s="1566" customFormat="1" ht="0.75" hidden="1" customHeight="1">
      <c r="A15" s="1267"/>
      <c r="B15" s="1267"/>
      <c r="C15" s="1267"/>
      <c r="D15" s="1238"/>
      <c r="E15" s="4034"/>
      <c r="F15" s="4034"/>
      <c r="G15" s="4033"/>
      <c r="H15" s="1238"/>
      <c r="I15" s="1238"/>
      <c r="J15" s="1238"/>
      <c r="K15" s="1238"/>
      <c r="L15" s="1263"/>
      <c r="M15" s="1239"/>
      <c r="N15" s="1239"/>
      <c r="P15" s="1240"/>
      <c r="Q15" s="1241"/>
      <c r="R15" s="1240"/>
      <c r="S15" s="1246"/>
      <c r="T15" s="1249" t="s">
        <v>235</v>
      </c>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W15" s="717"/>
      <c r="AX15" s="717" t="str">
        <f t="shared" si="1"/>
        <v>Добавить источник для дифференциации</v>
      </c>
      <c r="AY15" s="717"/>
      <c r="AZ15" s="717"/>
      <c r="BA15" s="452">
        <v>0</v>
      </c>
    </row>
    <row r="16" spans="1:53" s="1566" customFormat="1" ht="0.75" hidden="1" customHeight="1">
      <c r="A16" s="1267"/>
      <c r="B16" s="1267"/>
      <c r="C16" s="1238"/>
      <c r="D16" s="1238"/>
      <c r="E16" s="4034"/>
      <c r="F16" s="4033"/>
      <c r="G16" s="1238"/>
      <c r="H16" s="1238"/>
      <c r="I16" s="1238"/>
      <c r="J16" s="1238"/>
      <c r="K16" s="1238"/>
      <c r="L16" s="1263"/>
      <c r="M16" s="1245"/>
      <c r="N16" s="1245"/>
      <c r="P16" s="1240"/>
      <c r="Q16" s="1241"/>
      <c r="R16" s="1240"/>
      <c r="S16" s="1246"/>
      <c r="T16" s="1249" t="s">
        <v>236</v>
      </c>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W16" s="717"/>
      <c r="AX16" s="717" t="str">
        <f t="shared" si="1"/>
        <v>Добавить централизованную систему для дифференциации</v>
      </c>
      <c r="AY16" s="717"/>
      <c r="AZ16" s="717"/>
      <c r="BA16" s="452">
        <v>0</v>
      </c>
    </row>
    <row r="17" spans="1:53" s="1566" customFormat="1" ht="0.75" hidden="1" customHeight="1">
      <c r="A17" s="1267"/>
      <c r="B17" s="1267"/>
      <c r="C17" s="1267"/>
      <c r="D17" s="1267"/>
      <c r="E17" s="4033"/>
      <c r="F17" s="1267"/>
      <c r="G17" s="1267"/>
      <c r="H17" s="1267"/>
      <c r="I17" s="1267"/>
      <c r="J17" s="1267"/>
      <c r="K17" s="1267"/>
      <c r="L17" s="1270"/>
      <c r="M17" s="1245"/>
      <c r="N17" s="1245"/>
      <c r="O17" s="452"/>
      <c r="P17" s="314"/>
      <c r="Q17" s="1268"/>
      <c r="R17" s="314"/>
      <c r="S17" s="1246"/>
      <c r="T17" s="1249" t="s">
        <v>286</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W17" s="434"/>
      <c r="AX17" s="434" t="str">
        <f t="shared" si="1"/>
        <v>Добавить территорию для дифференциации</v>
      </c>
      <c r="AY17" s="434"/>
      <c r="AZ17" s="434"/>
      <c r="BA17" s="445">
        <v>0</v>
      </c>
    </row>
    <row r="18" spans="1:53" ht="14.25" hidden="1" customHeight="1">
      <c r="AA18" s="262"/>
      <c r="AS18" s="262"/>
      <c r="BA18" s="1079">
        <v>0</v>
      </c>
    </row>
    <row r="19" spans="1:53" ht="14.25" hidden="1" customHeight="1">
      <c r="AB19" s="1248" t="s">
        <v>6</v>
      </c>
      <c r="AC19" s="1425"/>
      <c r="AD19" s="482">
        <v>1</v>
      </c>
      <c r="AE19" s="1426"/>
      <c r="AF19" s="1248" t="s">
        <v>6</v>
      </c>
      <c r="AG19" s="1425"/>
      <c r="AH19" s="482">
        <v>1</v>
      </c>
      <c r="AI19" s="1426"/>
      <c r="AJ19" s="1248" t="s">
        <v>6</v>
      </c>
      <c r="AK19" s="1427"/>
      <c r="AL19" s="482">
        <v>1</v>
      </c>
      <c r="AM19" s="1430"/>
      <c r="AN19" s="1327"/>
      <c r="AO19" s="1328"/>
      <c r="AP19" s="1632"/>
      <c r="AQ19" s="1384" t="s">
        <v>53</v>
      </c>
      <c r="AR19" s="1632"/>
      <c r="AS19" s="1384" t="s">
        <v>53</v>
      </c>
      <c r="BA19" s="1079">
        <v>0</v>
      </c>
    </row>
    <row r="20" spans="1:53" ht="14.25" hidden="1" customHeight="1">
      <c r="AV20" s="430"/>
      <c r="AW20" s="430"/>
      <c r="AX20" s="430"/>
      <c r="AY20" s="430"/>
      <c r="AZ20" s="430"/>
      <c r="BA20" s="1079">
        <v>0</v>
      </c>
    </row>
    <row r="21" spans="1:53" ht="14.25" hidden="1" customHeight="1">
      <c r="O21" s="1291" t="s">
        <v>622</v>
      </c>
      <c r="X21" s="1269"/>
      <c r="Z21" s="1269"/>
      <c r="AA21" s="262"/>
      <c r="AP21" s="1269"/>
      <c r="AR21" s="1269"/>
      <c r="AS21" s="262"/>
      <c r="AV21" s="430"/>
      <c r="AW21" s="430"/>
      <c r="AX21" s="430"/>
      <c r="AY21" s="430"/>
      <c r="AZ21" s="430"/>
      <c r="BA21" s="1079">
        <v>0</v>
      </c>
    </row>
    <row r="22" spans="1:53" ht="14.25" hidden="1" customHeight="1">
      <c r="AA22" s="262"/>
      <c r="AS22" s="262"/>
      <c r="AV22" s="430"/>
      <c r="AW22" s="430"/>
      <c r="AX22" s="430"/>
      <c r="AY22" s="430"/>
      <c r="AZ22" s="430"/>
      <c r="BA22" s="1079">
        <v>0</v>
      </c>
    </row>
    <row r="23" spans="1:53" s="1433" customFormat="1" ht="14.25" hidden="1" customHeight="1">
      <c r="M23" s="1432"/>
      <c r="N23" s="1432"/>
      <c r="O23" s="1433" t="s">
        <v>623</v>
      </c>
      <c r="P23" s="1432"/>
      <c r="Q23" s="1434"/>
      <c r="R23" s="1434"/>
      <c r="Y23" s="1431" t="s">
        <v>625</v>
      </c>
      <c r="AA23" s="1431" t="s">
        <v>626</v>
      </c>
      <c r="AB23" s="1431" t="s">
        <v>678</v>
      </c>
      <c r="AE23" s="1431" t="s">
        <v>679</v>
      </c>
      <c r="AF23" s="1431" t="s">
        <v>678</v>
      </c>
      <c r="AI23" s="1431" t="s">
        <v>680</v>
      </c>
      <c r="AJ23" s="1431" t="s">
        <v>678</v>
      </c>
      <c r="AM23" s="1431" t="s">
        <v>681</v>
      </c>
      <c r="AQ23" s="1431" t="s">
        <v>625</v>
      </c>
      <c r="AS23" s="1431" t="s">
        <v>626</v>
      </c>
      <c r="AV23" s="1435"/>
      <c r="AW23" s="1435"/>
      <c r="AX23" s="1435"/>
      <c r="AY23" s="1435"/>
      <c r="AZ23" s="1435"/>
      <c r="BA23" s="1431">
        <v>0</v>
      </c>
    </row>
    <row r="24" spans="1:53" ht="14.25" hidden="1" customHeight="1">
      <c r="O24" s="1288"/>
      <c r="AV24" s="430"/>
      <c r="AW24" s="430"/>
      <c r="AX24" s="430"/>
      <c r="AY24" s="430"/>
      <c r="AZ24" s="430"/>
      <c r="BA24" s="1079">
        <v>0</v>
      </c>
    </row>
    <row r="25" spans="1:53" ht="14.25" hidden="1" customHeight="1">
      <c r="O25" s="1288"/>
      <c r="AV25" s="430"/>
      <c r="AW25" s="430"/>
      <c r="AX25" s="430"/>
      <c r="AY25" s="430"/>
      <c r="AZ25" s="430"/>
      <c r="BA25" s="1079">
        <v>0</v>
      </c>
    </row>
    <row r="26" spans="1:53" ht="14.65" customHeight="1">
      <c r="Q26" s="226"/>
      <c r="R26" s="310"/>
      <c r="S26" s="1199"/>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9">
        <v>14</v>
      </c>
    </row>
    <row r="27" spans="1:53" ht="27.4" customHeight="1">
      <c r="Q27" s="226"/>
      <c r="R27" s="310"/>
      <c r="S27" s="40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014"/>
      <c r="U27" s="4014"/>
      <c r="V27" s="4014"/>
      <c r="W27" s="4014"/>
      <c r="X27" s="4014"/>
      <c r="Y27" s="4014"/>
      <c r="Z27" s="4014"/>
      <c r="AA27" s="4014"/>
      <c r="AB27" s="4014"/>
      <c r="AC27" s="4014"/>
      <c r="AD27" s="4014"/>
      <c r="AE27" s="4014"/>
      <c r="AF27" s="4014"/>
      <c r="AG27" s="4014"/>
      <c r="AH27" s="4014"/>
      <c r="AI27" s="4014"/>
      <c r="AJ27" s="4014"/>
      <c r="AK27" s="4014"/>
      <c r="AL27" s="4014"/>
      <c r="AM27" s="4014"/>
      <c r="AN27" s="4014"/>
      <c r="AO27" s="4014"/>
      <c r="AP27" s="4014"/>
      <c r="AQ27" s="4014"/>
      <c r="AR27" s="4014"/>
      <c r="AS27" s="1167"/>
      <c r="BA27" s="1079">
        <v>26</v>
      </c>
    </row>
    <row r="28" spans="1:53" ht="14.65" customHeight="1">
      <c r="Q28" s="226"/>
      <c r="R28" s="310"/>
      <c r="S28" s="3987" t="str">
        <f>IF(org=0,"Не определено",org)</f>
        <v>ООО "Смоленскрегионтеплоэнерго"</v>
      </c>
      <c r="T28" s="3987"/>
      <c r="U28" s="3987"/>
      <c r="V28" s="3987"/>
      <c r="W28" s="3987"/>
      <c r="X28" s="3987"/>
      <c r="Y28" s="3987"/>
      <c r="Z28" s="3987"/>
      <c r="AA28" s="3987"/>
      <c r="AB28" s="3987"/>
      <c r="AC28" s="3987"/>
      <c r="AD28" s="3987"/>
      <c r="AE28" s="3987"/>
      <c r="AF28" s="3987"/>
      <c r="AG28" s="3987"/>
      <c r="AH28" s="3987"/>
      <c r="AI28" s="3987"/>
      <c r="AJ28" s="3987"/>
      <c r="AK28" s="3987"/>
      <c r="AL28" s="3987"/>
      <c r="AM28" s="3987"/>
      <c r="AN28" s="3987"/>
      <c r="AO28" s="3987"/>
      <c r="AP28" s="3987"/>
      <c r="AQ28" s="3987"/>
      <c r="AR28" s="3987"/>
      <c r="AS28" s="1167"/>
      <c r="BA28" s="1079">
        <v>14</v>
      </c>
    </row>
    <row r="29" spans="1:53" ht="14.25" hidden="1" customHeight="1">
      <c r="Q29" s="226"/>
      <c r="R29" s="310"/>
      <c r="S29" s="1199"/>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9">
        <v>0</v>
      </c>
    </row>
    <row r="30" spans="1:53" s="1748" customFormat="1" ht="25.5" hidden="1" customHeight="1">
      <c r="A30" s="1292"/>
      <c r="B30" s="1292"/>
      <c r="C30" s="1292"/>
      <c r="D30" s="1292"/>
      <c r="E30" s="1292"/>
      <c r="F30" s="1292"/>
      <c r="G30" s="1292"/>
      <c r="H30" s="1292"/>
      <c r="I30" s="1292"/>
      <c r="J30" s="1292"/>
      <c r="K30" s="1292"/>
      <c r="L30" s="1293"/>
      <c r="M30" s="1292"/>
      <c r="N30" s="1292"/>
      <c r="O30" s="1292"/>
      <c r="P30" s="1292"/>
      <c r="Q30" s="1292"/>
      <c r="S30" s="4024" t="s">
        <v>29</v>
      </c>
      <c r="T30" s="4024"/>
      <c r="U30" s="1296"/>
      <c r="V30" s="4026" t="str">
        <f>IF(TITLE_NAME_OR_PR_CHANGE="",IF(TITLE_NAME_OR_PR="","",TITLE_NAME_OR_PR),TITLE_NAME_OR_PR_CHANGE)</f>
        <v/>
      </c>
      <c r="W30" s="4026"/>
      <c r="X30" s="4026"/>
      <c r="Y30" s="4026"/>
      <c r="Z30" s="4026"/>
      <c r="AA30" s="261"/>
      <c r="AB30" s="4026" t="str">
        <f>IF(TITLE_NAME_OR_PR_CHANGE="",IF(TITLE_NAME_OR_PR="","",TITLE_NAME_OR_PR),TITLE_NAME_OR_PR_CHANGE)</f>
        <v/>
      </c>
      <c r="AC30" s="4026"/>
      <c r="AD30" s="4026"/>
      <c r="AE30" s="4026"/>
      <c r="AF30" s="4026"/>
      <c r="AG30" s="4026"/>
      <c r="AH30" s="4026"/>
      <c r="AI30" s="4026"/>
      <c r="AJ30" s="4026"/>
      <c r="AK30" s="4026"/>
      <c r="AL30" s="4026"/>
      <c r="AM30" s="4026"/>
      <c r="AN30" s="4026"/>
      <c r="AO30" s="4026"/>
      <c r="AP30" s="4026"/>
      <c r="AQ30" s="4026"/>
      <c r="AR30" s="4026"/>
      <c r="AS30" s="261"/>
      <c r="AT30" s="261"/>
      <c r="AU30" s="215"/>
      <c r="AV30" s="302"/>
      <c r="AW30" s="302"/>
      <c r="AX30" s="302"/>
      <c r="AY30" s="302"/>
      <c r="AZ30" s="302"/>
      <c r="BA30" s="352">
        <v>0</v>
      </c>
    </row>
    <row r="31" spans="1:53" s="1748" customFormat="1" ht="18.75" hidden="1" customHeight="1">
      <c r="A31" s="1292"/>
      <c r="B31" s="1292"/>
      <c r="C31" s="1292"/>
      <c r="D31" s="1292"/>
      <c r="E31" s="1292"/>
      <c r="F31" s="1292"/>
      <c r="G31" s="1292"/>
      <c r="H31" s="1292"/>
      <c r="I31" s="1292"/>
      <c r="J31" s="1292"/>
      <c r="K31" s="1292"/>
      <c r="L31" s="1293"/>
      <c r="M31" s="1292"/>
      <c r="N31" s="1292"/>
      <c r="O31" s="1292"/>
      <c r="P31" s="1292"/>
      <c r="Q31" s="1292"/>
      <c r="S31" s="4024" t="s">
        <v>628</v>
      </c>
      <c r="T31" s="4024"/>
      <c r="U31" s="1296"/>
      <c r="V31" s="4025">
        <f>IF(TITLE_DATE_PR_CHANGE="",IF(TITLE_DATE_PR="","",TITLE_DATE_PR),TITLE_DATE_PR_CHANGE)</f>
        <v>45765</v>
      </c>
      <c r="W31" s="4025"/>
      <c r="X31" s="4025"/>
      <c r="Y31" s="4025"/>
      <c r="Z31" s="4025"/>
      <c r="AA31" s="261"/>
      <c r="AB31" s="4025">
        <f>IF(TITLE_DATE_PR_CHANGE="",IF(TITLE_DATE_PR="","",TITLE_DATE_PR),TITLE_DATE_PR_CHANGE)</f>
        <v>45765</v>
      </c>
      <c r="AC31" s="4025"/>
      <c r="AD31" s="4025"/>
      <c r="AE31" s="4025"/>
      <c r="AF31" s="4025"/>
      <c r="AG31" s="4025"/>
      <c r="AH31" s="4025"/>
      <c r="AI31" s="4025"/>
      <c r="AJ31" s="4025"/>
      <c r="AK31" s="4025"/>
      <c r="AL31" s="4025"/>
      <c r="AM31" s="4025"/>
      <c r="AN31" s="4025"/>
      <c r="AO31" s="4025"/>
      <c r="AP31" s="4025"/>
      <c r="AQ31" s="4025"/>
      <c r="AR31" s="4025"/>
      <c r="AS31" s="261"/>
      <c r="AT31" s="261"/>
      <c r="AU31" s="215"/>
      <c r="AV31" s="302"/>
      <c r="AW31" s="302"/>
      <c r="AX31" s="302"/>
      <c r="AY31" s="302"/>
      <c r="AZ31" s="302"/>
      <c r="BA31" s="352">
        <v>0</v>
      </c>
    </row>
    <row r="32" spans="1:53" s="1748" customFormat="1" ht="18.75" hidden="1" customHeight="1">
      <c r="A32" s="1292"/>
      <c r="B32" s="1292"/>
      <c r="C32" s="1292"/>
      <c r="D32" s="1292"/>
      <c r="E32" s="1292"/>
      <c r="F32" s="1292"/>
      <c r="G32" s="1292"/>
      <c r="H32" s="1292"/>
      <c r="I32" s="1292"/>
      <c r="J32" s="1292"/>
      <c r="K32" s="1292"/>
      <c r="L32" s="1293"/>
      <c r="M32" s="1292"/>
      <c r="N32" s="1292"/>
      <c r="O32" s="1292"/>
      <c r="P32" s="1292"/>
      <c r="Q32" s="1292"/>
      <c r="S32" s="4024" t="s">
        <v>629</v>
      </c>
      <c r="T32" s="4024"/>
      <c r="U32" s="1296"/>
      <c r="V32" s="4026" t="str">
        <f>IF(TITLE_NUMBER_PR_CHANGE="",IF(TITLE_NUMBER_PR="","",TITLE_NUMBER_PR),TITLE_NUMBER_PR_CHANGE)</f>
        <v>917</v>
      </c>
      <c r="W32" s="4026"/>
      <c r="X32" s="4026"/>
      <c r="Y32" s="4026"/>
      <c r="Z32" s="4026"/>
      <c r="AA32" s="261"/>
      <c r="AB32" s="4026" t="str">
        <f>IF(TITLE_NUMBER_PR_CHANGE="",IF(TITLE_NUMBER_PR="","",TITLE_NUMBER_PR),TITLE_NUMBER_PR_CHANGE)</f>
        <v>917</v>
      </c>
      <c r="AC32" s="4026"/>
      <c r="AD32" s="4026"/>
      <c r="AE32" s="4026"/>
      <c r="AF32" s="4026"/>
      <c r="AG32" s="4026"/>
      <c r="AH32" s="4026"/>
      <c r="AI32" s="4026"/>
      <c r="AJ32" s="4026"/>
      <c r="AK32" s="4026"/>
      <c r="AL32" s="4026"/>
      <c r="AM32" s="4026"/>
      <c r="AN32" s="4026"/>
      <c r="AO32" s="4026"/>
      <c r="AP32" s="4026"/>
      <c r="AQ32" s="4026"/>
      <c r="AR32" s="4026"/>
      <c r="AS32" s="261"/>
      <c r="AT32" s="261"/>
      <c r="AU32" s="215"/>
      <c r="AV32" s="302"/>
      <c r="AW32" s="302"/>
      <c r="AX32" s="302"/>
      <c r="AY32" s="302"/>
      <c r="AZ32" s="302"/>
      <c r="BA32" s="352">
        <v>0</v>
      </c>
    </row>
    <row r="33" spans="1:53" s="1748" customFormat="1" ht="18.75" hidden="1" customHeight="1">
      <c r="A33" s="1292"/>
      <c r="B33" s="1292"/>
      <c r="C33" s="1292"/>
      <c r="D33" s="1292"/>
      <c r="E33" s="1292"/>
      <c r="F33" s="1292"/>
      <c r="G33" s="1292"/>
      <c r="H33" s="1292"/>
      <c r="I33" s="1292"/>
      <c r="J33" s="1292"/>
      <c r="K33" s="1292"/>
      <c r="L33" s="1293"/>
      <c r="M33" s="1292"/>
      <c r="N33" s="1292"/>
      <c r="O33" s="1292"/>
      <c r="P33" s="1292"/>
      <c r="Q33" s="1292"/>
      <c r="S33" s="4024" t="s">
        <v>30</v>
      </c>
      <c r="T33" s="4024"/>
      <c r="U33" s="1296"/>
      <c r="V33" s="4026" t="str">
        <f>IF(TITLE_IST_PUB_CHANGE="",IF(TITLE_IST_PUB="","",TITLE_IST_PUB),TITLE_IST_PUB_CHANGE)</f>
        <v/>
      </c>
      <c r="W33" s="4026"/>
      <c r="X33" s="4026"/>
      <c r="Y33" s="4026"/>
      <c r="Z33" s="4026"/>
      <c r="AA33" s="261"/>
      <c r="AB33" s="4026" t="str">
        <f>IF(TITLE_IST_PUB_CHANGE="",IF(TITLE_IST_PUB="","",TITLE_IST_PUB),TITLE_IST_PUB_CHANGE)</f>
        <v/>
      </c>
      <c r="AC33" s="4026"/>
      <c r="AD33" s="4026"/>
      <c r="AE33" s="4026"/>
      <c r="AF33" s="4026"/>
      <c r="AG33" s="4026"/>
      <c r="AH33" s="4026"/>
      <c r="AI33" s="4026"/>
      <c r="AJ33" s="4026"/>
      <c r="AK33" s="4026"/>
      <c r="AL33" s="4026"/>
      <c r="AM33" s="4026"/>
      <c r="AN33" s="4026"/>
      <c r="AO33" s="4026"/>
      <c r="AP33" s="4026"/>
      <c r="AQ33" s="4026"/>
      <c r="AR33" s="4026"/>
      <c r="AS33" s="261"/>
      <c r="AT33" s="261"/>
      <c r="AU33" s="215"/>
      <c r="AV33" s="302"/>
      <c r="AW33" s="302"/>
      <c r="AX33" s="302"/>
      <c r="AY33" s="302"/>
      <c r="AZ33" s="302"/>
      <c r="BA33" s="352">
        <v>0</v>
      </c>
    </row>
    <row r="34" spans="1:53" ht="14.25" customHeight="1">
      <c r="Q34" s="226"/>
      <c r="R34" s="310"/>
      <c r="S34" s="1199"/>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9">
        <v>0</v>
      </c>
    </row>
    <row r="35" spans="1:53" s="1748" customFormat="1" ht="18.75" customHeight="1">
      <c r="A35" s="1292"/>
      <c r="B35" s="1292"/>
      <c r="C35" s="1292"/>
      <c r="D35" s="1292"/>
      <c r="E35" s="1292"/>
      <c r="F35" s="1292"/>
      <c r="G35" s="1292"/>
      <c r="H35" s="1292"/>
      <c r="I35" s="1292"/>
      <c r="J35" s="1292"/>
      <c r="K35" s="1292"/>
      <c r="L35" s="1293"/>
      <c r="M35" s="1292"/>
      <c r="N35" s="1292"/>
      <c r="O35" s="1292"/>
      <c r="P35" s="1292"/>
      <c r="Q35" s="1292"/>
      <c r="S35" s="4024" t="s">
        <v>628</v>
      </c>
      <c r="T35" s="4024"/>
      <c r="U35" s="1296"/>
      <c r="V35" s="4025">
        <f>IF(TITLE_DATE_PR_CHANGE="",IF(TITLE_DATE_PR="","",TITLE_DATE_PR),TITLE_DATE_PR_CHANGE)</f>
        <v>45765</v>
      </c>
      <c r="W35" s="4025"/>
      <c r="X35" s="4025"/>
      <c r="Y35" s="4025"/>
      <c r="Z35" s="4025"/>
      <c r="AA35" s="261"/>
      <c r="AB35" s="4025">
        <f>IF(TITLE_DATE_PR_CHANGE="",IF(TITLE_DATE_PR="","",TITLE_DATE_PR),TITLE_DATE_PR_CHANGE)</f>
        <v>45765</v>
      </c>
      <c r="AC35" s="4025"/>
      <c r="AD35" s="4025"/>
      <c r="AE35" s="4025"/>
      <c r="AF35" s="4025"/>
      <c r="AG35" s="4025"/>
      <c r="AH35" s="4025"/>
      <c r="AI35" s="4025"/>
      <c r="AJ35" s="4025"/>
      <c r="AK35" s="4025"/>
      <c r="AL35" s="4025"/>
      <c r="AM35" s="4025"/>
      <c r="AN35" s="4025"/>
      <c r="AO35" s="4025"/>
      <c r="AP35" s="4025"/>
      <c r="AQ35" s="4025"/>
      <c r="AR35" s="4025"/>
      <c r="AS35" s="261"/>
      <c r="AT35" s="261"/>
      <c r="AU35" s="215"/>
      <c r="AV35" s="302"/>
      <c r="AW35" s="302"/>
      <c r="AX35" s="302"/>
      <c r="AY35" s="302"/>
      <c r="AZ35" s="302"/>
      <c r="BA35" s="352">
        <v>0</v>
      </c>
    </row>
    <row r="36" spans="1:53" s="1748" customFormat="1" ht="18" customHeight="1">
      <c r="A36" s="1292"/>
      <c r="B36" s="1292"/>
      <c r="C36" s="1292"/>
      <c r="D36" s="1292"/>
      <c r="E36" s="1292"/>
      <c r="F36" s="1292"/>
      <c r="G36" s="1292"/>
      <c r="H36" s="1292"/>
      <c r="I36" s="1292"/>
      <c r="J36" s="1292"/>
      <c r="K36" s="1292"/>
      <c r="L36" s="1293"/>
      <c r="M36" s="1292"/>
      <c r="N36" s="1292"/>
      <c r="O36" s="1292"/>
      <c r="P36" s="1292"/>
      <c r="Q36" s="1292"/>
      <c r="S36" s="4024" t="s">
        <v>629</v>
      </c>
      <c r="T36" s="4024"/>
      <c r="U36" s="1296"/>
      <c r="V36" s="4026" t="str">
        <f>IF(TITLE_NUMBER_PR_CHANGE="",IF(TITLE_NUMBER_PR="","",TITLE_NUMBER_PR),TITLE_NUMBER_PR_CHANGE)</f>
        <v>917</v>
      </c>
      <c r="W36" s="4026"/>
      <c r="X36" s="4026"/>
      <c r="Y36" s="4026"/>
      <c r="Z36" s="4026"/>
      <c r="AA36" s="261"/>
      <c r="AB36" s="4026" t="str">
        <f>IF(TITLE_NUMBER_PR_CHANGE="",IF(TITLE_NUMBER_PR="","",TITLE_NUMBER_PR),TITLE_NUMBER_PR_CHANGE)</f>
        <v>917</v>
      </c>
      <c r="AC36" s="4026"/>
      <c r="AD36" s="4026"/>
      <c r="AE36" s="4026"/>
      <c r="AF36" s="4026"/>
      <c r="AG36" s="4026"/>
      <c r="AH36" s="4026"/>
      <c r="AI36" s="4026"/>
      <c r="AJ36" s="4026"/>
      <c r="AK36" s="4026"/>
      <c r="AL36" s="4026"/>
      <c r="AM36" s="4026"/>
      <c r="AN36" s="4026"/>
      <c r="AO36" s="4026"/>
      <c r="AP36" s="4026"/>
      <c r="AQ36" s="4026"/>
      <c r="AR36" s="4026"/>
      <c r="AS36" s="261"/>
      <c r="AT36" s="261"/>
      <c r="AU36" s="215"/>
      <c r="AV36" s="302"/>
      <c r="AW36" s="302"/>
      <c r="AX36" s="302"/>
      <c r="AY36" s="302"/>
      <c r="AZ36" s="302"/>
      <c r="BA36" s="352">
        <v>0</v>
      </c>
    </row>
    <row r="37" spans="1:53" s="1748" customFormat="1" ht="1.1499999999999999" customHeight="1">
      <c r="A37" s="1292"/>
      <c r="B37" s="1292"/>
      <c r="C37" s="1292"/>
      <c r="D37" s="1292"/>
      <c r="E37" s="1292"/>
      <c r="F37" s="1292"/>
      <c r="G37" s="1292"/>
      <c r="H37" s="1292"/>
      <c r="I37" s="1292"/>
      <c r="J37" s="1292"/>
      <c r="K37" s="1292"/>
      <c r="L37" s="1293"/>
      <c r="M37" s="1292"/>
      <c r="N37" s="1292"/>
      <c r="O37" s="1292"/>
      <c r="P37" s="1292"/>
      <c r="Q37" s="1292"/>
      <c r="S37" s="258"/>
      <c r="T37" s="258"/>
      <c r="U37" s="1264"/>
      <c r="V37" s="261"/>
      <c r="W37" s="261"/>
      <c r="X37" s="261"/>
      <c r="Y37" s="261"/>
      <c r="Z37" s="261"/>
      <c r="AA37" s="213" t="s">
        <v>632</v>
      </c>
      <c r="AB37" s="261"/>
      <c r="AC37" s="261"/>
      <c r="AD37" s="261"/>
      <c r="AE37" s="261"/>
      <c r="AF37" s="261"/>
      <c r="AG37" s="261"/>
      <c r="AH37" s="261"/>
      <c r="AI37" s="261"/>
      <c r="AJ37" s="261"/>
      <c r="AK37" s="261"/>
      <c r="AL37" s="261"/>
      <c r="AM37" s="261"/>
      <c r="AN37" s="261"/>
      <c r="AO37" s="261"/>
      <c r="AP37" s="261"/>
      <c r="AQ37" s="261"/>
      <c r="AR37" s="261"/>
      <c r="AS37" s="213" t="s">
        <v>632</v>
      </c>
      <c r="AV37" s="302"/>
      <c r="AW37" s="302"/>
      <c r="AX37" s="302"/>
      <c r="AY37" s="302"/>
      <c r="AZ37" s="302"/>
      <c r="BA37" s="352">
        <v>1</v>
      </c>
    </row>
    <row r="38" spans="1:53" ht="14.65" customHeight="1">
      <c r="Q38" s="226"/>
      <c r="R38" s="310"/>
      <c r="S38" s="1199"/>
      <c r="T38" s="297"/>
      <c r="U38" s="1168"/>
      <c r="V38" s="4045"/>
      <c r="W38" s="4045"/>
      <c r="X38" s="4045"/>
      <c r="Y38" s="4045"/>
      <c r="Z38" s="4045"/>
      <c r="AA38" s="4045"/>
      <c r="AB38" s="4045"/>
      <c r="AC38" s="4045"/>
      <c r="AD38" s="4045"/>
      <c r="AE38" s="4045"/>
      <c r="AF38" s="4045"/>
      <c r="AG38" s="4045"/>
      <c r="AH38" s="4045"/>
      <c r="AI38" s="4045"/>
      <c r="AJ38" s="4045"/>
      <c r="AK38" s="4045"/>
      <c r="AL38" s="4045"/>
      <c r="AM38" s="4045"/>
      <c r="AN38" s="4045"/>
      <c r="AO38" s="4045"/>
      <c r="AP38" s="4045"/>
      <c r="AQ38" s="4045"/>
      <c r="AR38" s="4045"/>
      <c r="AS38" s="4045"/>
      <c r="BA38" s="1079">
        <v>14</v>
      </c>
    </row>
    <row r="39" spans="1:53" ht="14.65" customHeight="1">
      <c r="Q39" s="226"/>
      <c r="R39" s="310"/>
      <c r="S39" s="3889" t="s">
        <v>508</v>
      </c>
      <c r="T39" s="3889"/>
      <c r="U39" s="3889"/>
      <c r="V39" s="3889"/>
      <c r="W39" s="3889"/>
      <c r="X39" s="3889"/>
      <c r="Y39" s="3889"/>
      <c r="Z39" s="3889"/>
      <c r="AA39" s="3889"/>
      <c r="AB39" s="3967"/>
      <c r="AC39" s="3967"/>
      <c r="AD39" s="3967"/>
      <c r="AE39" s="3967"/>
      <c r="AF39" s="3889"/>
      <c r="AG39" s="3889"/>
      <c r="AH39" s="3889"/>
      <c r="AI39" s="3889"/>
      <c r="AJ39" s="3889"/>
      <c r="AK39" s="3889"/>
      <c r="AL39" s="3889"/>
      <c r="AM39" s="3889"/>
      <c r="AN39" s="3889"/>
      <c r="AO39" s="3889"/>
      <c r="AP39" s="3889"/>
      <c r="AQ39" s="3889"/>
      <c r="AR39" s="3889"/>
      <c r="AS39" s="3889"/>
      <c r="AT39" s="3889"/>
      <c r="AU39" s="3889" t="s">
        <v>509</v>
      </c>
      <c r="BA39" s="1079">
        <v>14</v>
      </c>
    </row>
    <row r="40" spans="1:53" ht="14.65" customHeight="1">
      <c r="Q40" s="226"/>
      <c r="R40" s="310"/>
      <c r="S40" s="4046" t="s">
        <v>75</v>
      </c>
      <c r="T40" s="3995" t="s">
        <v>682</v>
      </c>
      <c r="U40" s="236"/>
      <c r="V40" s="4048"/>
      <c r="W40" s="4048"/>
      <c r="X40" s="4048"/>
      <c r="Y40" s="4048"/>
      <c r="Z40" s="4049"/>
      <c r="AA40" s="4095" t="s">
        <v>635</v>
      </c>
      <c r="AB40" s="4079" t="s">
        <v>683</v>
      </c>
      <c r="AC40" s="4063"/>
      <c r="AD40" s="4063"/>
      <c r="AE40" s="4080"/>
      <c r="AF40" s="4063" t="s">
        <v>684</v>
      </c>
      <c r="AG40" s="4063"/>
      <c r="AH40" s="4063"/>
      <c r="AI40" s="4080"/>
      <c r="AJ40" s="4079" t="s">
        <v>685</v>
      </c>
      <c r="AK40" s="4063"/>
      <c r="AL40" s="4063"/>
      <c r="AM40" s="4080"/>
      <c r="AN40" s="4079" t="s">
        <v>634</v>
      </c>
      <c r="AO40" s="4063"/>
      <c r="AP40" s="4048"/>
      <c r="AQ40" s="4048"/>
      <c r="AR40" s="4049"/>
      <c r="AS40" s="4050" t="s">
        <v>635</v>
      </c>
      <c r="AT40" s="4053" t="s">
        <v>637</v>
      </c>
      <c r="AU40" s="3889"/>
      <c r="BA40" s="1079">
        <v>14</v>
      </c>
    </row>
    <row r="41" spans="1:53" ht="35.65" customHeight="1">
      <c r="Q41" s="226"/>
      <c r="R41" s="310"/>
      <c r="S41" s="4046"/>
      <c r="T41" s="3995"/>
      <c r="U41" s="958"/>
      <c r="V41" s="3889" t="s">
        <v>686</v>
      </c>
      <c r="W41" s="3889"/>
      <c r="X41" s="3968" t="s">
        <v>641</v>
      </c>
      <c r="Y41" s="4075"/>
      <c r="Z41" s="3969"/>
      <c r="AA41" s="4096"/>
      <c r="AB41" s="4081"/>
      <c r="AC41" s="4082"/>
      <c r="AD41" s="4082"/>
      <c r="AE41" s="4094"/>
      <c r="AF41" s="4082"/>
      <c r="AG41" s="4082"/>
      <c r="AH41" s="4082"/>
      <c r="AI41" s="4094"/>
      <c r="AJ41" s="4081"/>
      <c r="AK41" s="4082"/>
      <c r="AL41" s="4082"/>
      <c r="AM41" s="4082"/>
      <c r="AN41" s="3889" t="s">
        <v>686</v>
      </c>
      <c r="AO41" s="3889"/>
      <c r="AP41" s="4075" t="s">
        <v>641</v>
      </c>
      <c r="AQ41" s="4075"/>
      <c r="AR41" s="3969"/>
      <c r="AS41" s="4051"/>
      <c r="AT41" s="4054"/>
      <c r="AU41" s="3889"/>
      <c r="BA41" s="1079">
        <v>34</v>
      </c>
    </row>
    <row r="42" spans="1:53" ht="14.65" customHeight="1">
      <c r="Q42" s="226"/>
      <c r="R42" s="310"/>
      <c r="S42" s="4046"/>
      <c r="T42" s="3995"/>
      <c r="U42" s="958"/>
      <c r="V42" s="4099" t="str">
        <f>IF($AN$42&lt;&gt;"",$AN$42,"")</f>
        <v/>
      </c>
      <c r="W42" s="4099"/>
      <c r="X42" s="3973"/>
      <c r="Y42" s="4076"/>
      <c r="Z42" s="3974"/>
      <c r="AA42" s="4096"/>
      <c r="AB42" s="4081"/>
      <c r="AC42" s="4082"/>
      <c r="AD42" s="4082"/>
      <c r="AE42" s="4094"/>
      <c r="AF42" s="4082"/>
      <c r="AG42" s="4082"/>
      <c r="AH42" s="4082"/>
      <c r="AI42" s="4094"/>
      <c r="AJ42" s="4081"/>
      <c r="AK42" s="4082"/>
      <c r="AL42" s="4082"/>
      <c r="AM42" s="4082"/>
      <c r="AN42" s="4098"/>
      <c r="AO42" s="4098"/>
      <c r="AP42" s="4076"/>
      <c r="AQ42" s="4076"/>
      <c r="AR42" s="3974"/>
      <c r="AS42" s="4051"/>
      <c r="AT42" s="4054"/>
      <c r="AU42" s="3889"/>
      <c r="BA42" s="1079">
        <v>14</v>
      </c>
    </row>
    <row r="43" spans="1:53" ht="14.65" customHeight="1">
      <c r="A43" s="1294"/>
      <c r="B43" s="1294" t="s">
        <v>207</v>
      </c>
      <c r="C43" s="1294" t="s">
        <v>208</v>
      </c>
      <c r="D43" s="1294" t="s">
        <v>209</v>
      </c>
      <c r="E43" s="1288" t="s">
        <v>642</v>
      </c>
      <c r="F43" s="1288" t="s">
        <v>643</v>
      </c>
      <c r="G43" s="1288" t="s">
        <v>644</v>
      </c>
      <c r="H43" s="1288" t="s">
        <v>645</v>
      </c>
      <c r="I43" s="1288" t="s">
        <v>646</v>
      </c>
      <c r="J43" s="1288" t="s">
        <v>647</v>
      </c>
      <c r="K43" s="1288" t="s">
        <v>648</v>
      </c>
      <c r="L43" s="1288" t="s">
        <v>623</v>
      </c>
      <c r="Q43" s="226"/>
      <c r="R43" s="310"/>
      <c r="S43" s="4046"/>
      <c r="T43" s="3995"/>
      <c r="U43" s="237"/>
      <c r="V43" s="1254" t="s">
        <v>687</v>
      </c>
      <c r="W43" s="1254" t="s">
        <v>688</v>
      </c>
      <c r="X43" s="1262" t="s">
        <v>651</v>
      </c>
      <c r="Y43" s="4000" t="s">
        <v>652</v>
      </c>
      <c r="Z43" s="4013"/>
      <c r="AA43" s="4097"/>
      <c r="AB43" s="4083"/>
      <c r="AC43" s="4084"/>
      <c r="AD43" s="4084"/>
      <c r="AE43" s="4085"/>
      <c r="AF43" s="4084"/>
      <c r="AG43" s="4084"/>
      <c r="AH43" s="4084"/>
      <c r="AI43" s="4085"/>
      <c r="AJ43" s="4083"/>
      <c r="AK43" s="4084"/>
      <c r="AL43" s="4084"/>
      <c r="AM43" s="4085"/>
      <c r="AN43" s="1755" t="s">
        <v>687</v>
      </c>
      <c r="AO43" s="1755" t="s">
        <v>688</v>
      </c>
      <c r="AP43" s="1262" t="s">
        <v>651</v>
      </c>
      <c r="AQ43" s="4000" t="s">
        <v>652</v>
      </c>
      <c r="AR43" s="4013"/>
      <c r="AS43" s="4052"/>
      <c r="AT43" s="4055"/>
      <c r="AU43" s="3889"/>
      <c r="BA43" s="1079">
        <v>14</v>
      </c>
    </row>
    <row r="44" spans="1:53" s="1565" customFormat="1" ht="11.25" hidden="1" customHeight="1">
      <c r="A44" s="1294"/>
      <c r="B44" s="1294"/>
      <c r="C44" s="1294"/>
      <c r="D44" s="1294"/>
      <c r="E44" s="1294"/>
      <c r="F44" s="1294"/>
      <c r="G44" s="1294"/>
      <c r="H44" s="1294"/>
      <c r="I44" s="1294"/>
      <c r="J44" s="1294"/>
      <c r="K44" s="1294"/>
      <c r="L44" s="1288"/>
      <c r="M44" s="1286"/>
      <c r="N44" s="1286"/>
      <c r="O44" s="1286"/>
      <c r="P44" s="444"/>
      <c r="Q44" s="1178"/>
      <c r="R44" s="1178">
        <v>1</v>
      </c>
      <c r="S44" s="1201" t="s">
        <v>184</v>
      </c>
      <c r="T44" s="1179" t="s">
        <v>89</v>
      </c>
      <c r="U44" s="1169" t="str">
        <f ca="1">OFFSET(U44,0,-1)</f>
        <v>2</v>
      </c>
      <c r="V44" s="1259">
        <f ca="1">OFFSET(V44,0,-1)+1</f>
        <v>3</v>
      </c>
      <c r="W44" s="1259">
        <f ca="1">OFFSET(W44,0,-1)+1</f>
        <v>4</v>
      </c>
      <c r="X44" s="1259">
        <f ca="1">OFFSET(X44,0,-1)+1</f>
        <v>5</v>
      </c>
      <c r="Y44" s="4044">
        <f ca="1">OFFSET(Y44,0,-1)+1</f>
        <v>6</v>
      </c>
      <c r="Z44" s="4044"/>
      <c r="AA44" s="1259">
        <f ca="1">OFFSET(AA44,0,-2)+1</f>
        <v>7</v>
      </c>
      <c r="AB44" s="1265">
        <f ca="1">OFFSET(AB44,0,-1)+1</f>
        <v>8</v>
      </c>
      <c r="AC44" s="1265"/>
      <c r="AD44" s="1265"/>
      <c r="AE44" s="1265"/>
      <c r="AF44" s="1259"/>
      <c r="AG44" s="1259"/>
      <c r="AH44" s="1259"/>
      <c r="AI44" s="1259"/>
      <c r="AJ44" s="1259"/>
      <c r="AK44" s="1259"/>
      <c r="AL44" s="1259"/>
      <c r="AM44" s="1259"/>
      <c r="AN44" s="1259">
        <f ca="1">OFFSET(AN44,0,-1)+1</f>
        <v>1</v>
      </c>
      <c r="AO44" s="1259">
        <f ca="1">OFFSET(AO44,0,-1)+1</f>
        <v>2</v>
      </c>
      <c r="AP44" s="1259">
        <f ca="1">OFFSET(AP44,0,-1)+1</f>
        <v>3</v>
      </c>
      <c r="AQ44" s="4044">
        <f ca="1">OFFSET(AQ44,0,-1)+1</f>
        <v>4</v>
      </c>
      <c r="AR44" s="4044"/>
      <c r="AS44" s="1259">
        <f ca="1">OFFSET(AS44,0,-2)+1</f>
        <v>5</v>
      </c>
      <c r="AT44" s="1169">
        <f ca="1">OFFSET(AT44,0,-1)</f>
        <v>5</v>
      </c>
      <c r="AU44" s="1259">
        <f ca="1">OFFSET(AU44,0,-1)+1</f>
        <v>6</v>
      </c>
      <c r="AV44" s="445"/>
      <c r="AW44" s="445"/>
      <c r="AX44" s="445"/>
      <c r="AY44" s="445"/>
      <c r="AZ44" s="445"/>
      <c r="BA44" s="430">
        <v>0</v>
      </c>
    </row>
    <row r="45" spans="1:53" ht="107.25" customHeight="1">
      <c r="A45" s="1287" t="s">
        <v>408</v>
      </c>
      <c r="B45" s="1287"/>
      <c r="C45" s="1287"/>
      <c r="D45" s="1287"/>
      <c r="E45" s="4033">
        <v>1</v>
      </c>
      <c r="F45" s="1287"/>
      <c r="G45" s="1287"/>
      <c r="H45" s="1287"/>
      <c r="I45" s="1287"/>
      <c r="J45" s="1287"/>
      <c r="K45" s="1287"/>
      <c r="L45" s="1288"/>
      <c r="M45" s="1289"/>
      <c r="N45" s="1289"/>
      <c r="O45" s="1289"/>
      <c r="P45" s="1333"/>
      <c r="Q45" s="801"/>
      <c r="R45" s="289"/>
      <c r="S45" s="1260">
        <f>INDEX(PT_DIFFERENTIATION_NUM_NTAR,MATCH(A45,PT_DIFFERENTIATION_NTAR_ID,0))</f>
        <v>0</v>
      </c>
      <c r="T45" s="233" t="s">
        <v>195</v>
      </c>
      <c r="U45" s="235"/>
      <c r="V45" s="4028"/>
      <c r="W45" s="4028"/>
      <c r="X45" s="4028"/>
      <c r="Y45" s="4028"/>
      <c r="Z45" s="4028"/>
      <c r="AA45" s="4029"/>
      <c r="AB45" s="4027" t="str">
        <f>INDEX(PT_DIFFERENTIATION_NTAR,MATCH(A45,PT_DIFFERENTIATION_NTAR_ID,0))</f>
        <v/>
      </c>
      <c r="AC45" s="4028"/>
      <c r="AD45" s="4028"/>
      <c r="AE45" s="4028"/>
      <c r="AF45" s="4028"/>
      <c r="AG45" s="4028"/>
      <c r="AH45" s="4028"/>
      <c r="AI45" s="4028"/>
      <c r="AJ45" s="4028"/>
      <c r="AK45" s="4028"/>
      <c r="AL45" s="4028"/>
      <c r="AM45" s="4028"/>
      <c r="AN45" s="4028"/>
      <c r="AO45" s="4028"/>
      <c r="AP45" s="4028"/>
      <c r="AQ45" s="4028"/>
      <c r="AR45" s="4028"/>
      <c r="AS45" s="4028"/>
      <c r="AT45" s="4029"/>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4"/>
      <c r="AX45" s="434" t="str">
        <f t="shared" ref="AX45:AX51" si="2">IF(T45="","",T45)</f>
        <v>Наименование тарифа</v>
      </c>
      <c r="AY45" s="434"/>
      <c r="AZ45" s="434"/>
      <c r="BA45" s="1079">
        <v>102</v>
      </c>
    </row>
    <row r="46" spans="1:53" ht="21.95" customHeight="1">
      <c r="A46" s="1287" t="s">
        <v>408</v>
      </c>
      <c r="B46" s="1287" t="s">
        <v>409</v>
      </c>
      <c r="C46" s="1287"/>
      <c r="D46" s="1287"/>
      <c r="E46" s="4034"/>
      <c r="F46" s="4033">
        <v>1</v>
      </c>
      <c r="G46" s="1287"/>
      <c r="H46" s="1287"/>
      <c r="I46" s="1287"/>
      <c r="J46" s="1287"/>
      <c r="K46" s="1287"/>
      <c r="L46" s="1288"/>
      <c r="M46" s="1289"/>
      <c r="N46" s="1289"/>
      <c r="O46" s="1289"/>
      <c r="P46" s="1334"/>
      <c r="Q46" s="1335"/>
      <c r="R46" s="287"/>
      <c r="S46" s="1260" t="str">
        <f>INDEX(PT_DIFFERENTIATION_NUM_TER,MATCH(B46,PT_DIFFERENTIATION_TER_ID,0))</f>
        <v>.</v>
      </c>
      <c r="T46" s="243" t="s">
        <v>605</v>
      </c>
      <c r="U46" s="235"/>
      <c r="V46" s="4028"/>
      <c r="W46" s="4028"/>
      <c r="X46" s="4028"/>
      <c r="Y46" s="4028"/>
      <c r="Z46" s="4028"/>
      <c r="AA46" s="4029"/>
      <c r="AB46" s="4027" t="str">
        <f>INDEX(PT_DIFFERENTIATION_TER,MATCH(B46,PT_DIFFERENTIATION_TER_ID,0))</f>
        <v/>
      </c>
      <c r="AC46" s="4028"/>
      <c r="AD46" s="4028"/>
      <c r="AE46" s="4028"/>
      <c r="AF46" s="4028"/>
      <c r="AG46" s="4028"/>
      <c r="AH46" s="4028"/>
      <c r="AI46" s="4028"/>
      <c r="AJ46" s="4028"/>
      <c r="AK46" s="4028"/>
      <c r="AL46" s="4028"/>
      <c r="AM46" s="4028"/>
      <c r="AN46" s="4028"/>
      <c r="AO46" s="4028"/>
      <c r="AP46" s="4028"/>
      <c r="AQ46" s="4028"/>
      <c r="AR46" s="4028"/>
      <c r="AS46" s="4028"/>
      <c r="AT46" s="4029"/>
      <c r="AU46" s="1182" t="s">
        <v>606</v>
      </c>
      <c r="AW46" s="434"/>
      <c r="AX46" s="434" t="str">
        <f t="shared" si="2"/>
        <v>Территория действия тарифа</v>
      </c>
      <c r="AY46" s="434"/>
      <c r="AZ46" s="434"/>
      <c r="BA46" s="1079">
        <v>21</v>
      </c>
    </row>
    <row r="47" spans="1:53" ht="24" customHeight="1">
      <c r="A47" s="1287" t="s">
        <v>408</v>
      </c>
      <c r="B47" s="1287" t="s">
        <v>409</v>
      </c>
      <c r="C47" s="1287" t="s">
        <v>410</v>
      </c>
      <c r="D47" s="1287"/>
      <c r="E47" s="4034"/>
      <c r="F47" s="4034"/>
      <c r="G47" s="4033">
        <v>1</v>
      </c>
      <c r="H47" s="1287"/>
      <c r="I47" s="1287"/>
      <c r="J47" s="1287"/>
      <c r="K47" s="1287"/>
      <c r="L47" s="1288"/>
      <c r="M47" s="1289"/>
      <c r="N47" s="1289"/>
      <c r="O47" s="1289"/>
      <c r="P47" s="1336"/>
      <c r="Q47" s="1335"/>
      <c r="R47" s="287"/>
      <c r="S47" s="1260" t="str">
        <f>INDEX(PT_DIFFERENTIATION_NUM_CS,MATCH(C47,PT_DIFFERENTIATION_CS_ID,0))</f>
        <v>..</v>
      </c>
      <c r="T47" s="244" t="s">
        <v>607</v>
      </c>
      <c r="U47" s="235"/>
      <c r="V47" s="4028"/>
      <c r="W47" s="4028"/>
      <c r="X47" s="4028"/>
      <c r="Y47" s="4028"/>
      <c r="Z47" s="4028"/>
      <c r="AA47" s="4029"/>
      <c r="AB47" s="4027" t="str">
        <f>INDEX(PT_DIFFERENTIATION_CS,MATCH(C47,PT_DIFFERENTIATION_CS_ID,0))</f>
        <v/>
      </c>
      <c r="AC47" s="4028"/>
      <c r="AD47" s="4028"/>
      <c r="AE47" s="4028"/>
      <c r="AF47" s="4028"/>
      <c r="AG47" s="4028"/>
      <c r="AH47" s="4028"/>
      <c r="AI47" s="4028"/>
      <c r="AJ47" s="4028"/>
      <c r="AK47" s="4028"/>
      <c r="AL47" s="4028"/>
      <c r="AM47" s="4028"/>
      <c r="AN47" s="4028"/>
      <c r="AO47" s="4028"/>
      <c r="AP47" s="4028"/>
      <c r="AQ47" s="4028"/>
      <c r="AR47" s="4028"/>
      <c r="AS47" s="4028"/>
      <c r="AT47" s="4029"/>
      <c r="AU47" s="1182" t="s">
        <v>608</v>
      </c>
      <c r="AW47" s="434"/>
      <c r="AX47" s="434" t="str">
        <f t="shared" si="2"/>
        <v xml:space="preserve">Наименование системы теплоснабжения </v>
      </c>
      <c r="AY47" s="434"/>
      <c r="AZ47" s="434"/>
      <c r="BA47" s="1079">
        <v>23</v>
      </c>
    </row>
    <row r="48" spans="1:53" ht="21" customHeight="1">
      <c r="A48" s="1287" t="s">
        <v>408</v>
      </c>
      <c r="B48" s="1287" t="s">
        <v>409</v>
      </c>
      <c r="C48" s="1287" t="s">
        <v>410</v>
      </c>
      <c r="D48" s="1287" t="s">
        <v>411</v>
      </c>
      <c r="E48" s="4034"/>
      <c r="F48" s="4034"/>
      <c r="G48" s="4034"/>
      <c r="H48" s="4033">
        <v>1</v>
      </c>
      <c r="I48" s="1287"/>
      <c r="J48" s="1287"/>
      <c r="K48" s="1287"/>
      <c r="L48" s="1288"/>
      <c r="M48" s="1289"/>
      <c r="N48" s="1289"/>
      <c r="O48" s="1289"/>
      <c r="P48" s="1336"/>
      <c r="Q48" s="1335"/>
      <c r="R48" s="287"/>
      <c r="S48" s="1260" t="str">
        <f>INDEX(PT_DIFFERENTIATION_NUM_IST_TE,MATCH(D48,PT_DIFFERENTIATION_IST_TE_ID,0))</f>
        <v>...</v>
      </c>
      <c r="T48" s="245" t="s">
        <v>609</v>
      </c>
      <c r="U48" s="235"/>
      <c r="V48" s="4028"/>
      <c r="W48" s="4028"/>
      <c r="X48" s="4028"/>
      <c r="Y48" s="4028"/>
      <c r="Z48" s="4028"/>
      <c r="AA48" s="4029"/>
      <c r="AB48" s="4027" t="str">
        <f>INDEX(PT_DIFFERENTIATION_IST_TE,MATCH(D48,PT_DIFFERENTIATION_IST_TE_ID,0))</f>
        <v/>
      </c>
      <c r="AC48" s="4028"/>
      <c r="AD48" s="4028"/>
      <c r="AE48" s="4028"/>
      <c r="AF48" s="4028"/>
      <c r="AG48" s="4028"/>
      <c r="AH48" s="4028"/>
      <c r="AI48" s="4028"/>
      <c r="AJ48" s="4028"/>
      <c r="AK48" s="4028"/>
      <c r="AL48" s="4028"/>
      <c r="AM48" s="4028"/>
      <c r="AN48" s="4028"/>
      <c r="AO48" s="4028"/>
      <c r="AP48" s="4028"/>
      <c r="AQ48" s="4028"/>
      <c r="AR48" s="4028"/>
      <c r="AS48" s="4028"/>
      <c r="AT48" s="4029"/>
      <c r="AU48" s="1182" t="s">
        <v>610</v>
      </c>
      <c r="AW48" s="434"/>
      <c r="AX48" s="434" t="str">
        <f t="shared" si="2"/>
        <v xml:space="preserve">Источник тепловой энергии  </v>
      </c>
      <c r="AY48" s="434"/>
      <c r="AZ48" s="434"/>
      <c r="BA48" s="1079">
        <v>20</v>
      </c>
    </row>
    <row r="49" spans="1:53" s="1566" customFormat="1" ht="1.1499999999999999" customHeight="1">
      <c r="A49" s="1267" t="s">
        <v>408</v>
      </c>
      <c r="B49" s="1267" t="s">
        <v>409</v>
      </c>
      <c r="C49" s="1267" t="s">
        <v>410</v>
      </c>
      <c r="D49" s="1267" t="s">
        <v>411</v>
      </c>
      <c r="E49" s="4034"/>
      <c r="F49" s="4034"/>
      <c r="G49" s="4034"/>
      <c r="H49" s="4034"/>
      <c r="I49" s="4035" t="str">
        <f>S48&amp;".1"</f>
        <v>....1</v>
      </c>
      <c r="J49" s="1267"/>
      <c r="K49" s="1267"/>
      <c r="L49" s="1270" t="s">
        <v>611</v>
      </c>
      <c r="M49" s="444"/>
      <c r="N49" s="444"/>
      <c r="O49" s="444"/>
      <c r="P49" s="4037">
        <v>1</v>
      </c>
      <c r="Q49" s="1255"/>
      <c r="R49" s="290"/>
      <c r="S49" s="969"/>
      <c r="T49" s="1307"/>
      <c r="U49" s="1308"/>
      <c r="V49" s="4065"/>
      <c r="W49" s="4065"/>
      <c r="X49" s="4065"/>
      <c r="Y49" s="4065"/>
      <c r="Z49" s="4065"/>
      <c r="AA49" s="4066"/>
      <c r="AB49" s="4064"/>
      <c r="AC49" s="4065"/>
      <c r="AD49" s="4065"/>
      <c r="AE49" s="4065"/>
      <c r="AF49" s="4065"/>
      <c r="AG49" s="4065"/>
      <c r="AH49" s="4065"/>
      <c r="AI49" s="4065"/>
      <c r="AJ49" s="4065"/>
      <c r="AK49" s="4065"/>
      <c r="AL49" s="4065"/>
      <c r="AM49" s="4065"/>
      <c r="AN49" s="4065"/>
      <c r="AO49" s="4065"/>
      <c r="AP49" s="4065"/>
      <c r="AQ49" s="4065"/>
      <c r="AR49" s="4065"/>
      <c r="AS49" s="4065"/>
      <c r="AT49" s="4066"/>
      <c r="AU49" s="1309"/>
      <c r="AW49" s="434"/>
      <c r="AX49" s="434" t="str">
        <f t="shared" si="2"/>
        <v/>
      </c>
      <c r="AY49" s="434"/>
      <c r="AZ49" s="434"/>
      <c r="BA49" s="445">
        <v>1</v>
      </c>
    </row>
    <row r="50" spans="1:53" s="1566" customFormat="1" ht="1.1499999999999999" customHeight="1">
      <c r="A50" s="1267" t="s">
        <v>408</v>
      </c>
      <c r="B50" s="1267" t="s">
        <v>409</v>
      </c>
      <c r="C50" s="1267" t="s">
        <v>410</v>
      </c>
      <c r="D50" s="1267" t="s">
        <v>411</v>
      </c>
      <c r="E50" s="4034"/>
      <c r="F50" s="4034"/>
      <c r="G50" s="4034"/>
      <c r="H50" s="4034"/>
      <c r="I50" s="4036"/>
      <c r="J50" s="4035" t="str">
        <f>S48&amp;".1"</f>
        <v>....1</v>
      </c>
      <c r="K50" s="1267"/>
      <c r="L50" s="1270"/>
      <c r="M50" s="444"/>
      <c r="N50" s="444"/>
      <c r="O50" s="444"/>
      <c r="P50" s="4037"/>
      <c r="Q50" s="4037">
        <v>1</v>
      </c>
      <c r="R50" s="291"/>
      <c r="S50" s="969"/>
      <c r="T50" s="1323"/>
      <c r="U50" s="1308"/>
      <c r="V50" s="4065"/>
      <c r="W50" s="4065"/>
      <c r="X50" s="4065"/>
      <c r="Y50" s="4065"/>
      <c r="Z50" s="4065"/>
      <c r="AA50" s="4066"/>
      <c r="AB50" s="4064"/>
      <c r="AC50" s="4065"/>
      <c r="AD50" s="4065"/>
      <c r="AE50" s="4065"/>
      <c r="AF50" s="4065"/>
      <c r="AG50" s="4065"/>
      <c r="AH50" s="4065"/>
      <c r="AI50" s="4065"/>
      <c r="AJ50" s="4065"/>
      <c r="AK50" s="4065"/>
      <c r="AL50" s="4065"/>
      <c r="AM50" s="4065"/>
      <c r="AN50" s="4065"/>
      <c r="AO50" s="4065"/>
      <c r="AP50" s="4065"/>
      <c r="AQ50" s="4065"/>
      <c r="AR50" s="4065"/>
      <c r="AS50" s="4065"/>
      <c r="AT50" s="4066"/>
      <c r="AU50" s="1309"/>
      <c r="AW50" s="434"/>
      <c r="AX50" s="434" t="str">
        <f t="shared" si="2"/>
        <v/>
      </c>
      <c r="AY50" s="434"/>
      <c r="AZ50" s="434"/>
      <c r="BA50" s="445">
        <v>1</v>
      </c>
    </row>
    <row r="51" spans="1:53" ht="21.95" customHeight="1">
      <c r="A51" s="1287" t="s">
        <v>408</v>
      </c>
      <c r="B51" s="1287" t="s">
        <v>409</v>
      </c>
      <c r="C51" s="1287" t="s">
        <v>410</v>
      </c>
      <c r="D51" s="1287" t="s">
        <v>411</v>
      </c>
      <c r="E51" s="4034"/>
      <c r="F51" s="4034"/>
      <c r="G51" s="4034"/>
      <c r="H51" s="4034"/>
      <c r="I51" s="4036"/>
      <c r="J51" s="4036"/>
      <c r="K51" s="4035" t="str">
        <f>S48&amp;".1"</f>
        <v>....1</v>
      </c>
      <c r="L51" s="1288"/>
      <c r="P51" s="4037"/>
      <c r="Q51" s="4037"/>
      <c r="R51" s="291">
        <v>1</v>
      </c>
      <c r="S51" s="4090" t="str">
        <f>$K51</f>
        <v>....1</v>
      </c>
      <c r="T51" s="4087"/>
      <c r="U51" s="235"/>
      <c r="V51" s="685"/>
      <c r="W51" s="1181"/>
      <c r="X51" s="1630"/>
      <c r="Y51" s="1383" t="s">
        <v>53</v>
      </c>
      <c r="Z51" s="1630"/>
      <c r="AA51" s="1383" t="s">
        <v>53</v>
      </c>
      <c r="AB51" s="3899" t="s">
        <v>6</v>
      </c>
      <c r="AC51" s="4086"/>
      <c r="AD51" s="3991">
        <v>1</v>
      </c>
      <c r="AE51" s="4078" t="s">
        <v>15</v>
      </c>
      <c r="AF51" s="3899" t="s">
        <v>6</v>
      </c>
      <c r="AG51" s="4086"/>
      <c r="AH51" s="3991">
        <v>1</v>
      </c>
      <c r="AI51" s="4078" t="s">
        <v>15</v>
      </c>
      <c r="AJ51" s="3899" t="s">
        <v>6</v>
      </c>
      <c r="AK51" s="246"/>
      <c r="AL51" s="1261">
        <v>1</v>
      </c>
      <c r="AM51" s="1326"/>
      <c r="AN51" s="685"/>
      <c r="AO51" s="1181"/>
      <c r="AP51" s="1630"/>
      <c r="AQ51" s="1383" t="s">
        <v>53</v>
      </c>
      <c r="AR51" s="1630"/>
      <c r="AS51" s="1383" t="s">
        <v>53</v>
      </c>
      <c r="AT51" s="1272"/>
      <c r="AU51" s="4056" t="s">
        <v>689</v>
      </c>
      <c r="AV51" s="445" t="e">
        <f ca="1">STRCHECKDATE(V54:AT54)</f>
        <v>#NAME?</v>
      </c>
      <c r="AW51" s="434"/>
      <c r="AX51" s="434" t="str">
        <f t="shared" si="2"/>
        <v/>
      </c>
      <c r="AY51" s="434"/>
      <c r="AZ51" s="434"/>
      <c r="BA51" s="1079">
        <v>21</v>
      </c>
    </row>
    <row r="52" spans="1:53" ht="11.45" customHeight="1">
      <c r="A52" s="1287" t="s">
        <v>408</v>
      </c>
      <c r="B52" s="1287"/>
      <c r="C52" s="1287"/>
      <c r="D52" s="1287"/>
      <c r="E52" s="4034"/>
      <c r="F52" s="4034"/>
      <c r="G52" s="4034"/>
      <c r="H52" s="4034"/>
      <c r="I52" s="4036"/>
      <c r="J52" s="4036"/>
      <c r="K52" s="4035"/>
      <c r="L52" s="1288"/>
      <c r="P52" s="4037"/>
      <c r="Q52" s="4037"/>
      <c r="R52" s="291"/>
      <c r="S52" s="4091"/>
      <c r="T52" s="4088"/>
      <c r="U52" s="235"/>
      <c r="V52" s="1317"/>
      <c r="W52" s="1420"/>
      <c r="X52" s="1317"/>
      <c r="Y52" s="1317"/>
      <c r="Z52" s="1317"/>
      <c r="AA52" s="1317"/>
      <c r="AB52" s="3899"/>
      <c r="AC52" s="4086"/>
      <c r="AD52" s="3991"/>
      <c r="AE52" s="4078"/>
      <c r="AF52" s="3899"/>
      <c r="AG52" s="4086"/>
      <c r="AH52" s="3991"/>
      <c r="AI52" s="4078"/>
      <c r="AJ52" s="3899"/>
      <c r="AK52" s="251"/>
      <c r="AL52" s="350"/>
      <c r="AM52" s="349" t="s">
        <v>674</v>
      </c>
      <c r="AN52" s="1317"/>
      <c r="AO52" s="1420"/>
      <c r="AP52" s="1317"/>
      <c r="AQ52" s="1317"/>
      <c r="AR52" s="1317"/>
      <c r="AS52" s="1317"/>
      <c r="AT52" s="1314"/>
      <c r="AU52" s="4057"/>
      <c r="AW52" s="434"/>
      <c r="AX52" s="434"/>
      <c r="AY52" s="434"/>
      <c r="AZ52" s="434"/>
      <c r="BA52" s="1079">
        <v>11</v>
      </c>
    </row>
    <row r="53" spans="1:53" ht="11.45" customHeight="1">
      <c r="A53" s="1287" t="s">
        <v>408</v>
      </c>
      <c r="B53" s="1287"/>
      <c r="C53" s="1287"/>
      <c r="D53" s="1287"/>
      <c r="E53" s="4034"/>
      <c r="F53" s="4034"/>
      <c r="G53" s="4034"/>
      <c r="H53" s="4034"/>
      <c r="I53" s="4036"/>
      <c r="J53" s="4036"/>
      <c r="K53" s="4035"/>
      <c r="L53" s="1288"/>
      <c r="P53" s="4037"/>
      <c r="Q53" s="4037"/>
      <c r="R53" s="291"/>
      <c r="S53" s="4091"/>
      <c r="T53" s="4088"/>
      <c r="U53" s="235"/>
      <c r="V53" s="1317"/>
      <c r="W53" s="1420"/>
      <c r="X53" s="1317"/>
      <c r="Y53" s="1317"/>
      <c r="Z53" s="1317"/>
      <c r="AA53" s="1317"/>
      <c r="AB53" s="3899"/>
      <c r="AC53" s="4086"/>
      <c r="AD53" s="3991"/>
      <c r="AE53" s="4078"/>
      <c r="AF53" s="3899"/>
      <c r="AG53" s="229"/>
      <c r="AH53" s="349"/>
      <c r="AI53" s="349" t="s">
        <v>675</v>
      </c>
      <c r="AJ53" s="1317"/>
      <c r="AK53" s="1317"/>
      <c r="AL53" s="1317"/>
      <c r="AM53" s="1317"/>
      <c r="AN53" s="1317"/>
      <c r="AO53" s="1420"/>
      <c r="AP53" s="1317"/>
      <c r="AQ53" s="1317"/>
      <c r="AR53" s="1317"/>
      <c r="AS53" s="1317"/>
      <c r="AT53" s="1314"/>
      <c r="AU53" s="4057"/>
      <c r="AW53" s="434"/>
      <c r="AX53" s="434"/>
      <c r="AY53" s="434"/>
      <c r="AZ53" s="434"/>
      <c r="BA53" s="1079">
        <v>11</v>
      </c>
    </row>
    <row r="54" spans="1:53" ht="11.45" customHeight="1">
      <c r="A54" s="1287" t="s">
        <v>408</v>
      </c>
      <c r="B54" s="1287" t="s">
        <v>409</v>
      </c>
      <c r="C54" s="1287" t="s">
        <v>410</v>
      </c>
      <c r="D54" s="1287" t="s">
        <v>411</v>
      </c>
      <c r="E54" s="4034"/>
      <c r="F54" s="4034"/>
      <c r="G54" s="4034"/>
      <c r="H54" s="4034"/>
      <c r="I54" s="4036"/>
      <c r="J54" s="4036"/>
      <c r="K54" s="4035"/>
      <c r="L54" s="1288"/>
      <c r="P54" s="4037"/>
      <c r="Q54" s="4037"/>
      <c r="R54" s="291"/>
      <c r="S54" s="4092"/>
      <c r="T54" s="4089"/>
      <c r="U54" s="235"/>
      <c r="V54" s="1317"/>
      <c r="W54" s="1318" t="str">
        <f>X51&amp;"-"&amp;Z51</f>
        <v>-</v>
      </c>
      <c r="X54" s="1317"/>
      <c r="Y54" s="1317"/>
      <c r="Z54" s="1317"/>
      <c r="AA54" s="1317"/>
      <c r="AB54" s="3899"/>
      <c r="AC54" s="247"/>
      <c r="AD54" s="249"/>
      <c r="AE54" s="349" t="s">
        <v>676</v>
      </c>
      <c r="AF54" s="1317"/>
      <c r="AG54" s="1317"/>
      <c r="AH54" s="1317"/>
      <c r="AI54" s="1317"/>
      <c r="AJ54" s="1317"/>
      <c r="AK54" s="1317"/>
      <c r="AL54" s="1317"/>
      <c r="AM54" s="1317"/>
      <c r="AN54" s="1317"/>
      <c r="AO54" s="1318" t="str">
        <f>AP51&amp;"-"&amp;AR51</f>
        <v>-</v>
      </c>
      <c r="AP54" s="1317"/>
      <c r="AQ54" s="1317"/>
      <c r="AR54" s="1317"/>
      <c r="AS54" s="1317"/>
      <c r="AT54" s="1273"/>
      <c r="AU54" s="4057"/>
      <c r="AW54" s="434"/>
      <c r="AX54" s="434" t="str">
        <f t="shared" ref="AX54:AX62" si="3">IF(T54="","",T54)</f>
        <v/>
      </c>
      <c r="AY54" s="434"/>
      <c r="AZ54" s="434"/>
      <c r="BA54" s="1079">
        <v>11</v>
      </c>
    </row>
    <row r="55" spans="1:53" ht="11.45" customHeight="1">
      <c r="A55" s="1287" t="s">
        <v>408</v>
      </c>
      <c r="B55" s="1287" t="s">
        <v>409</v>
      </c>
      <c r="C55" s="1287" t="s">
        <v>410</v>
      </c>
      <c r="D55" s="1287" t="s">
        <v>411</v>
      </c>
      <c r="E55" s="4034"/>
      <c r="F55" s="4034"/>
      <c r="G55" s="4034"/>
      <c r="H55" s="4034"/>
      <c r="I55" s="4036"/>
      <c r="J55" s="4035"/>
      <c r="K55" s="1287"/>
      <c r="L55" s="1288"/>
      <c r="P55" s="4037"/>
      <c r="Q55" s="4037"/>
      <c r="R55" s="290"/>
      <c r="S55" s="1202"/>
      <c r="T55" s="222" t="s">
        <v>677</v>
      </c>
      <c r="U55" s="301"/>
      <c r="V55" s="301"/>
      <c r="W55" s="301"/>
      <c r="X55" s="301"/>
      <c r="Y55" s="301"/>
      <c r="Z55" s="301"/>
      <c r="AA55" s="259"/>
      <c r="AB55" s="1429"/>
      <c r="AC55" s="301"/>
      <c r="AD55" s="301"/>
      <c r="AE55" s="301"/>
      <c r="AF55" s="301"/>
      <c r="AG55" s="301"/>
      <c r="AH55" s="301"/>
      <c r="AI55" s="301"/>
      <c r="AJ55" s="301"/>
      <c r="AK55" s="301"/>
      <c r="AL55" s="301"/>
      <c r="AM55" s="301"/>
      <c r="AN55" s="301"/>
      <c r="AO55" s="301"/>
      <c r="AP55" s="301"/>
      <c r="AQ55" s="301"/>
      <c r="AR55" s="301"/>
      <c r="AS55" s="301"/>
      <c r="AT55" s="259"/>
      <c r="AU55" s="4058"/>
      <c r="AW55" s="434"/>
      <c r="AX55" s="434" t="str">
        <f t="shared" si="3"/>
        <v>Добавить строку</v>
      </c>
      <c r="AY55" s="434"/>
      <c r="AZ55" s="434"/>
      <c r="BA55" s="1079">
        <v>11</v>
      </c>
    </row>
    <row r="56" spans="1:53" s="1566" customFormat="1" ht="1.1499999999999999" customHeight="1">
      <c r="A56" s="1267" t="s">
        <v>408</v>
      </c>
      <c r="B56" s="1267" t="s">
        <v>409</v>
      </c>
      <c r="C56" s="1267" t="s">
        <v>410</v>
      </c>
      <c r="D56" s="1267" t="s">
        <v>411</v>
      </c>
      <c r="E56" s="4034"/>
      <c r="F56" s="4034"/>
      <c r="G56" s="4034"/>
      <c r="H56" s="4034"/>
      <c r="I56" s="4035"/>
      <c r="J56" s="1267"/>
      <c r="K56" s="1267"/>
      <c r="L56" s="1270"/>
      <c r="M56" s="444"/>
      <c r="N56" s="444"/>
      <c r="O56" s="444"/>
      <c r="P56" s="4037"/>
      <c r="Q56" s="1255"/>
      <c r="R56" s="290"/>
      <c r="S56" s="1310"/>
      <c r="T56" s="1311" t="s">
        <v>620</v>
      </c>
      <c r="U56" s="1312"/>
      <c r="V56" s="1312"/>
      <c r="W56" s="1312"/>
      <c r="X56" s="1312"/>
      <c r="Y56" s="1312"/>
      <c r="Z56" s="1312"/>
      <c r="AA56" s="1312"/>
      <c r="AB56" s="1312"/>
      <c r="AC56" s="1312"/>
      <c r="AD56" s="1312"/>
      <c r="AE56" s="1312"/>
      <c r="AF56" s="1312"/>
      <c r="AG56" s="1312"/>
      <c r="AH56" s="1312"/>
      <c r="AI56" s="1312"/>
      <c r="AJ56" s="1312"/>
      <c r="AK56" s="1312"/>
      <c r="AL56" s="1312"/>
      <c r="AM56" s="1312"/>
      <c r="AN56" s="1312"/>
      <c r="AO56" s="1312"/>
      <c r="AP56" s="1312"/>
      <c r="AQ56" s="1312"/>
      <c r="AR56" s="1312"/>
      <c r="AS56" s="1312"/>
      <c r="AT56" s="1312"/>
      <c r="AU56" s="1313"/>
      <c r="AW56" s="434"/>
      <c r="AX56" s="434" t="str">
        <f t="shared" si="3"/>
        <v>Добавить группу потребителей</v>
      </c>
      <c r="AY56" s="434"/>
      <c r="AZ56" s="434"/>
      <c r="BA56" s="445">
        <v>1</v>
      </c>
    </row>
    <row r="57" spans="1:53" s="1565" customFormat="1" ht="1.1499999999999999" customHeight="1">
      <c r="A57" s="1267" t="s">
        <v>408</v>
      </c>
      <c r="B57" s="1267" t="s">
        <v>409</v>
      </c>
      <c r="C57" s="1267" t="s">
        <v>410</v>
      </c>
      <c r="D57" s="1267" t="s">
        <v>411</v>
      </c>
      <c r="E57" s="4034"/>
      <c r="F57" s="4034"/>
      <c r="G57" s="4034"/>
      <c r="H57" s="4033"/>
      <c r="I57" s="1267"/>
      <c r="J57" s="1267"/>
      <c r="K57" s="1267"/>
      <c r="L57" s="1270"/>
      <c r="M57" s="1239"/>
      <c r="N57" s="1239"/>
      <c r="O57" s="452"/>
      <c r="P57" s="314"/>
      <c r="Q57" s="1268"/>
      <c r="R57" s="1324"/>
      <c r="S57" s="1310"/>
      <c r="T57" s="1311"/>
      <c r="U57" s="1312"/>
      <c r="V57" s="1312"/>
      <c r="W57" s="1312"/>
      <c r="X57" s="1312"/>
      <c r="Y57" s="1312"/>
      <c r="Z57" s="1312"/>
      <c r="AA57" s="1312"/>
      <c r="AB57" s="1312"/>
      <c r="AC57" s="1312"/>
      <c r="AD57" s="1312"/>
      <c r="AE57" s="1312"/>
      <c r="AF57" s="1312"/>
      <c r="AG57" s="1312"/>
      <c r="AH57" s="1312"/>
      <c r="AI57" s="1312"/>
      <c r="AJ57" s="1312"/>
      <c r="AK57" s="1312"/>
      <c r="AL57" s="1312"/>
      <c r="AM57" s="1312"/>
      <c r="AN57" s="1312"/>
      <c r="AO57" s="1312"/>
      <c r="AP57" s="1312"/>
      <c r="AQ57" s="1312"/>
      <c r="AR57" s="1312"/>
      <c r="AS57" s="1312"/>
      <c r="AT57" s="1312"/>
      <c r="AU57" s="1313"/>
      <c r="AV57" s="445"/>
      <c r="AW57" s="434"/>
      <c r="AX57" s="434" t="str">
        <f t="shared" si="3"/>
        <v/>
      </c>
      <c r="AY57" s="434"/>
      <c r="AZ57" s="434"/>
      <c r="BA57" s="430">
        <v>1</v>
      </c>
    </row>
    <row r="58" spans="1:53" s="1566" customFormat="1" ht="1.1499999999999999" customHeight="1">
      <c r="A58" s="1267" t="s">
        <v>408</v>
      </c>
      <c r="B58" s="1267" t="s">
        <v>409</v>
      </c>
      <c r="C58" s="1267" t="s">
        <v>410</v>
      </c>
      <c r="D58" s="1238"/>
      <c r="E58" s="4034"/>
      <c r="F58" s="4034"/>
      <c r="G58" s="4033"/>
      <c r="H58" s="1238"/>
      <c r="I58" s="1238"/>
      <c r="J58" s="1238"/>
      <c r="K58" s="1238"/>
      <c r="L58" s="1263"/>
      <c r="M58" s="1239"/>
      <c r="N58" s="1239"/>
      <c r="P58" s="1240"/>
      <c r="Q58" s="1241"/>
      <c r="R58" s="1240"/>
      <c r="S58" s="1246"/>
      <c r="T58" s="1249" t="s">
        <v>235</v>
      </c>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W58" s="717"/>
      <c r="AX58" s="717" t="str">
        <f t="shared" si="3"/>
        <v>Добавить источник для дифференциации</v>
      </c>
      <c r="AY58" s="717"/>
      <c r="AZ58" s="717"/>
      <c r="BA58" s="452">
        <v>1</v>
      </c>
    </row>
    <row r="59" spans="1:53" s="1566" customFormat="1" ht="1.1499999999999999" customHeight="1">
      <c r="A59" s="1267" t="s">
        <v>408</v>
      </c>
      <c r="B59" s="1267" t="s">
        <v>409</v>
      </c>
      <c r="C59" s="1238"/>
      <c r="D59" s="1238"/>
      <c r="E59" s="4034"/>
      <c r="F59" s="4033"/>
      <c r="G59" s="1238"/>
      <c r="H59" s="1238"/>
      <c r="I59" s="1238"/>
      <c r="J59" s="1238"/>
      <c r="K59" s="1238"/>
      <c r="L59" s="1263"/>
      <c r="M59" s="1245"/>
      <c r="N59" s="1245"/>
      <c r="P59" s="1240"/>
      <c r="Q59" s="1241"/>
      <c r="R59" s="1240"/>
      <c r="S59" s="1246"/>
      <c r="T59" s="1249" t="s">
        <v>236</v>
      </c>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W59" s="717"/>
      <c r="AX59" s="717" t="str">
        <f t="shared" si="3"/>
        <v>Добавить централизованную систему для дифференциации</v>
      </c>
      <c r="AY59" s="717"/>
      <c r="AZ59" s="717"/>
      <c r="BA59" s="452">
        <v>1</v>
      </c>
    </row>
    <row r="60" spans="1:53" s="1566" customFormat="1" ht="1.1499999999999999" customHeight="1">
      <c r="A60" s="1267" t="s">
        <v>408</v>
      </c>
      <c r="B60" s="1267"/>
      <c r="C60" s="1267"/>
      <c r="D60" s="1267"/>
      <c r="E60" s="4034"/>
      <c r="F60" s="1267"/>
      <c r="G60" s="1267"/>
      <c r="H60" s="1267"/>
      <c r="I60" s="1267"/>
      <c r="J60" s="1267"/>
      <c r="K60" s="1267"/>
      <c r="L60" s="1270"/>
      <c r="M60" s="1245"/>
      <c r="N60" s="1245"/>
      <c r="O60" s="452"/>
      <c r="P60" s="314"/>
      <c r="Q60" s="1268"/>
      <c r="R60" s="314"/>
      <c r="S60" s="1246"/>
      <c r="T60" s="1249" t="s">
        <v>286</v>
      </c>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W60" s="434"/>
      <c r="AX60" s="434" t="str">
        <f t="shared" si="3"/>
        <v>Добавить территорию для дифференциации</v>
      </c>
      <c r="AY60" s="434"/>
      <c r="AZ60" s="434"/>
      <c r="BA60" s="445">
        <v>1</v>
      </c>
    </row>
    <row r="61" spans="1:53" s="1566" customFormat="1" ht="1.1499999999999999" customHeight="1">
      <c r="A61" s="1267" t="s">
        <v>408</v>
      </c>
      <c r="B61" s="1267"/>
      <c r="C61" s="1267"/>
      <c r="D61" s="1267"/>
      <c r="E61" s="4033"/>
      <c r="F61" s="1267"/>
      <c r="G61" s="1267"/>
      <c r="H61" s="1267"/>
      <c r="I61" s="1267"/>
      <c r="J61" s="1267"/>
      <c r="K61" s="1267"/>
      <c r="L61" s="1270"/>
      <c r="M61" s="1245"/>
      <c r="N61" s="1245"/>
      <c r="O61" s="452"/>
      <c r="P61" s="314"/>
      <c r="Q61" s="1268"/>
      <c r="R61" s="314"/>
      <c r="S61" s="1246"/>
      <c r="T61" s="1249" t="s">
        <v>286</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W61" s="434"/>
      <c r="AX61" s="434" t="str">
        <f t="shared" si="3"/>
        <v>Добавить территорию для дифференциации</v>
      </c>
      <c r="AY61" s="434"/>
      <c r="AZ61" s="434"/>
      <c r="BA61" s="445">
        <v>1</v>
      </c>
    </row>
    <row r="62" spans="1:53" s="1566" customFormat="1" ht="1.1499999999999999" customHeight="1">
      <c r="A62" s="1238"/>
      <c r="B62" s="1238"/>
      <c r="C62" s="1238"/>
      <c r="D62" s="1238"/>
      <c r="E62" s="1267"/>
      <c r="F62" s="1238"/>
      <c r="G62" s="1238"/>
      <c r="H62" s="1238"/>
      <c r="I62" s="1238"/>
      <c r="J62" s="1238"/>
      <c r="K62" s="1238"/>
      <c r="L62" s="1263"/>
      <c r="M62" s="1245"/>
      <c r="N62" s="1245"/>
      <c r="P62" s="1240"/>
      <c r="Q62" s="1241"/>
      <c r="R62" s="1240"/>
      <c r="S62" s="1246"/>
      <c r="T62" s="1249" t="s">
        <v>287</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W62" s="717"/>
      <c r="AX62" s="717" t="str">
        <f t="shared" si="3"/>
        <v>Добавить наименование тарифа</v>
      </c>
      <c r="AY62" s="717"/>
      <c r="AZ62" s="717"/>
      <c r="BA62" s="452">
        <v>1</v>
      </c>
    </row>
    <row r="63" spans="1:53" ht="11.45" customHeight="1">
      <c r="M63" s="1084"/>
      <c r="N63" s="1084"/>
      <c r="O63" s="471"/>
      <c r="P63" s="1084"/>
      <c r="Q63" s="1084"/>
      <c r="R63" s="1079"/>
      <c r="S63" s="1079"/>
      <c r="AV63" s="1079"/>
      <c r="AW63" s="1079"/>
      <c r="AX63" s="1079"/>
      <c r="AY63" s="1079"/>
      <c r="AZ63" s="1079"/>
      <c r="BA63" s="1079">
        <v>11</v>
      </c>
    </row>
    <row r="64" spans="1:53" ht="19.899999999999999" customHeight="1">
      <c r="O64" s="471"/>
      <c r="S64" s="1177"/>
      <c r="T64" s="4032"/>
      <c r="U64" s="4032"/>
      <c r="V64" s="4032"/>
      <c r="W64" s="4032"/>
      <c r="X64" s="4032"/>
      <c r="Y64" s="4032"/>
      <c r="Z64" s="4032"/>
      <c r="AA64" s="4032"/>
      <c r="AB64" s="4032"/>
      <c r="AC64" s="4032"/>
      <c r="AD64" s="4032"/>
      <c r="AE64" s="4032"/>
      <c r="AF64" s="4032"/>
      <c r="AG64" s="4032"/>
      <c r="AH64" s="4032"/>
      <c r="AI64" s="4032"/>
      <c r="AJ64" s="4032"/>
      <c r="AK64" s="4032"/>
      <c r="AL64" s="4032"/>
      <c r="AM64" s="4032"/>
      <c r="AN64" s="4032"/>
      <c r="AO64" s="4032"/>
      <c r="AP64" s="4032"/>
      <c r="AQ64" s="4032"/>
      <c r="AR64" s="4032"/>
      <c r="AS64" s="4032"/>
      <c r="AT64" s="4032"/>
      <c r="AU64" s="4032"/>
      <c r="BA64" s="1079">
        <v>19</v>
      </c>
    </row>
    <row r="65" spans="1:53" ht="21" customHeight="1">
      <c r="O65" s="471"/>
      <c r="T65" s="4032"/>
      <c r="U65" s="4032"/>
      <c r="V65" s="4032"/>
      <c r="W65" s="4032"/>
      <c r="X65" s="4032"/>
      <c r="Y65" s="4032"/>
      <c r="Z65" s="4032"/>
      <c r="AA65" s="4032"/>
      <c r="AB65" s="4032"/>
      <c r="AC65" s="4032"/>
      <c r="AD65" s="4032"/>
      <c r="AE65" s="4032"/>
      <c r="AF65" s="4032"/>
      <c r="AG65" s="4032"/>
      <c r="AH65" s="4032"/>
      <c r="AI65" s="4032"/>
      <c r="AJ65" s="4032"/>
      <c r="AK65" s="4032"/>
      <c r="AL65" s="4032"/>
      <c r="AM65" s="4032"/>
      <c r="AN65" s="4032"/>
      <c r="AO65" s="4032"/>
      <c r="AP65" s="4032"/>
      <c r="AQ65" s="4032"/>
      <c r="AR65" s="4032"/>
      <c r="AS65" s="4032"/>
      <c r="AT65" s="4032"/>
      <c r="AU65" s="4032"/>
      <c r="BA65" s="1079">
        <v>20</v>
      </c>
    </row>
    <row r="66" spans="1:53" ht="14.65" customHeight="1">
      <c r="O66" s="471"/>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BA66" s="1079">
        <v>14</v>
      </c>
    </row>
    <row r="67" spans="1:53" ht="19.899999999999999" customHeight="1">
      <c r="O67" s="471"/>
      <c r="T67" s="4032"/>
      <c r="U67" s="4032"/>
      <c r="V67" s="4032"/>
      <c r="W67" s="4032"/>
      <c r="X67" s="4032"/>
      <c r="Y67" s="4032"/>
      <c r="Z67" s="4032"/>
      <c r="AA67" s="4032"/>
      <c r="AB67" s="4032"/>
      <c r="AC67" s="4032"/>
      <c r="AD67" s="4032"/>
      <c r="AE67" s="4032"/>
      <c r="AF67" s="4032"/>
      <c r="AG67" s="4032"/>
      <c r="AH67" s="4032"/>
      <c r="AI67" s="4032"/>
      <c r="AJ67" s="4032"/>
      <c r="AK67" s="4032"/>
      <c r="AL67" s="4032"/>
      <c r="AM67" s="4032"/>
      <c r="AN67" s="4032"/>
      <c r="AO67" s="4032"/>
      <c r="AP67" s="4032"/>
      <c r="AQ67" s="4032"/>
      <c r="AR67" s="4032"/>
      <c r="AS67" s="4032"/>
      <c r="AT67" s="4032"/>
      <c r="AU67" s="4032"/>
      <c r="BA67" s="1079">
        <v>19</v>
      </c>
    </row>
    <row r="68" spans="1:53" ht="16.899999999999999" customHeight="1">
      <c r="O68" s="471"/>
      <c r="T68" s="4032"/>
      <c r="U68" s="4032"/>
      <c r="V68" s="4032"/>
      <c r="W68" s="4032"/>
      <c r="X68" s="4032"/>
      <c r="Y68" s="4032"/>
      <c r="Z68" s="4032"/>
      <c r="AA68" s="4032"/>
      <c r="AB68" s="4032"/>
      <c r="AC68" s="4032"/>
      <c r="AD68" s="4032"/>
      <c r="AE68" s="4032"/>
      <c r="AF68" s="4032"/>
      <c r="AG68" s="4032"/>
      <c r="AH68" s="4032"/>
      <c r="AI68" s="4032"/>
      <c r="AJ68" s="4032"/>
      <c r="AK68" s="4032"/>
      <c r="AL68" s="4032"/>
      <c r="AM68" s="4032"/>
      <c r="AN68" s="4032"/>
      <c r="AO68" s="4032"/>
      <c r="AP68" s="4032"/>
      <c r="AQ68" s="4032"/>
      <c r="AR68" s="4032"/>
      <c r="AS68" s="4032"/>
      <c r="AT68" s="4032"/>
      <c r="AU68" s="4032"/>
      <c r="BA68" s="1079">
        <v>16</v>
      </c>
    </row>
    <row r="69" spans="1:53" ht="14.65" customHeight="1">
      <c r="O69" s="471"/>
      <c r="BA69" s="1079">
        <v>14</v>
      </c>
    </row>
    <row r="70" spans="1:53" ht="22.5" hidden="1" customHeight="1">
      <c r="A70" s="1084" t="s">
        <v>69</v>
      </c>
      <c r="B70" s="1084">
        <v>0</v>
      </c>
      <c r="C70" s="1084">
        <v>0</v>
      </c>
      <c r="D70" s="1084">
        <v>0</v>
      </c>
      <c r="E70" s="1084">
        <v>0</v>
      </c>
      <c r="F70" s="1084">
        <v>0</v>
      </c>
      <c r="G70" s="1084">
        <v>0</v>
      </c>
      <c r="H70" s="1084">
        <v>0</v>
      </c>
      <c r="I70" s="1084">
        <v>0</v>
      </c>
      <c r="J70" s="1084">
        <v>0</v>
      </c>
      <c r="K70" s="1084">
        <v>0</v>
      </c>
      <c r="L70" s="1253">
        <v>0</v>
      </c>
      <c r="M70" s="1286">
        <v>0</v>
      </c>
      <c r="N70" s="1286">
        <v>0</v>
      </c>
      <c r="O70" s="1286">
        <v>0</v>
      </c>
      <c r="P70" s="1286">
        <v>3</v>
      </c>
      <c r="Q70" s="1295">
        <v>3</v>
      </c>
      <c r="R70" s="279">
        <v>3</v>
      </c>
      <c r="S70" s="515">
        <v>12</v>
      </c>
      <c r="T70" s="1079">
        <v>31</v>
      </c>
      <c r="U70" s="1079">
        <v>0</v>
      </c>
      <c r="V70" s="1079">
        <v>0</v>
      </c>
      <c r="W70" s="1079">
        <v>0</v>
      </c>
      <c r="X70" s="1079">
        <v>0</v>
      </c>
      <c r="Y70" s="1079">
        <v>0</v>
      </c>
      <c r="Z70" s="1079">
        <v>0</v>
      </c>
      <c r="AA70" s="1079">
        <v>0</v>
      </c>
      <c r="AB70" s="1079">
        <v>5</v>
      </c>
      <c r="AC70" s="1079">
        <v>3</v>
      </c>
      <c r="AD70" s="1079">
        <v>3</v>
      </c>
      <c r="AE70" s="1079">
        <v>24</v>
      </c>
      <c r="AF70" s="1079">
        <v>3</v>
      </c>
      <c r="AG70" s="1079">
        <v>3</v>
      </c>
      <c r="AH70" s="1079">
        <v>3</v>
      </c>
      <c r="AI70" s="1079">
        <v>24</v>
      </c>
      <c r="AJ70" s="1079">
        <v>3</v>
      </c>
      <c r="AK70" s="1079">
        <v>3</v>
      </c>
      <c r="AL70" s="1079">
        <v>3</v>
      </c>
      <c r="AM70" s="1079">
        <v>18</v>
      </c>
      <c r="AN70" s="1079">
        <v>21</v>
      </c>
      <c r="AO70" s="1079">
        <v>21</v>
      </c>
      <c r="AP70" s="1079">
        <v>11</v>
      </c>
      <c r="AQ70" s="1079">
        <v>3</v>
      </c>
      <c r="AR70" s="1079">
        <v>11</v>
      </c>
      <c r="AS70" s="1079">
        <v>8</v>
      </c>
      <c r="AT70" s="1079">
        <v>4</v>
      </c>
      <c r="AU70" s="1079">
        <v>115</v>
      </c>
      <c r="AV70" s="445">
        <v>10</v>
      </c>
      <c r="AW70" s="445">
        <v>10</v>
      </c>
      <c r="AX70" s="445">
        <v>10</v>
      </c>
      <c r="AY70" s="445">
        <v>10</v>
      </c>
      <c r="AZ70" s="445">
        <v>10</v>
      </c>
      <c r="BA70" s="1079">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104"/>
  <sheetViews>
    <sheetView showGridLines="0" zoomScale="90" workbookViewId="0">
      <pane xSplit="6" ySplit="11" topLeftCell="G75" activePane="bottomRight" state="frozen"/>
      <selection pane="topRight" activeCell="G1" sqref="G1"/>
      <selection pane="bottomLeft" activeCell="A12" sqref="A12"/>
      <selection pane="bottomRight" activeCell="C90" sqref="C90"/>
    </sheetView>
  </sheetViews>
  <sheetFormatPr defaultColWidth="9.140625" defaultRowHeight="14.25" customHeight="1"/>
  <cols>
    <col min="1" max="1" width="8" style="1559" hidden="1" customWidth="1"/>
    <col min="2" max="2" width="6" style="1290" hidden="1" customWidth="1"/>
    <col min="3" max="3" width="3" style="1559" customWidth="1"/>
    <col min="4" max="4" width="3" style="1737" customWidth="1"/>
    <col min="5" max="5" width="6" style="1559" customWidth="1"/>
    <col min="6" max="6" width="2.7109375" style="1559" hidden="1" customWidth="1"/>
    <col min="7" max="7" width="46.7109375" style="1559" customWidth="1"/>
    <col min="8" max="8" width="42" style="1559" customWidth="1"/>
    <col min="9" max="9" width="14" style="1559" customWidth="1"/>
    <col min="10" max="10" width="3" style="1548" customWidth="1"/>
    <col min="11" max="13" width="9.140625" style="1548" hidden="1"/>
    <col min="14" max="14" width="25.7109375" style="1548" hidden="1" customWidth="1"/>
    <col min="15" max="15" width="14.42578125" style="1548" hidden="1" customWidth="1"/>
    <col min="16" max="19" width="9.140625" style="160" hidden="1"/>
    <col min="20" max="27" width="9.140625" style="1559" hidden="1"/>
    <col min="28" max="28" width="8" style="1559" customWidth="1"/>
    <col min="29" max="29" width="9.140625" style="1559" hidden="1"/>
  </cols>
  <sheetData>
    <row r="1" spans="1:29" s="1566" customFormat="1" ht="5.25" hidden="1" customHeight="1">
      <c r="A1" s="430"/>
      <c r="B1" s="445"/>
      <c r="C1" s="445"/>
      <c r="D1" s="156"/>
      <c r="F1" s="445"/>
      <c r="G1" s="182" t="s">
        <v>70</v>
      </c>
      <c r="H1" s="428" t="s">
        <v>71</v>
      </c>
      <c r="I1" s="162" t="s">
        <v>72</v>
      </c>
      <c r="J1" s="182" t="s">
        <v>70</v>
      </c>
      <c r="K1" s="182"/>
      <c r="L1" s="182"/>
      <c r="M1" s="182"/>
      <c r="N1" s="183"/>
      <c r="O1" s="182"/>
      <c r="P1" s="182"/>
      <c r="Q1" s="182"/>
      <c r="R1" s="182"/>
      <c r="S1" s="182"/>
      <c r="T1" s="162"/>
      <c r="U1" s="162"/>
      <c r="V1" s="162"/>
      <c r="W1" s="162"/>
      <c r="X1" s="162"/>
      <c r="Y1" s="162"/>
      <c r="Z1" s="162"/>
      <c r="AA1" s="162"/>
      <c r="AB1" s="162"/>
      <c r="AC1" s="87" t="s">
        <v>1</v>
      </c>
    </row>
    <row r="2" spans="1:29" s="1336"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1715" customFormat="1" ht="3" customHeight="1">
      <c r="A3" s="690"/>
      <c r="B3" s="351"/>
      <c r="C3" s="690"/>
      <c r="D3" s="99"/>
      <c r="E3" s="42"/>
      <c r="F3" s="443"/>
      <c r="G3" s="42"/>
      <c r="H3" s="42"/>
      <c r="I3" s="101"/>
      <c r="J3" s="182"/>
      <c r="K3" s="90"/>
      <c r="L3" s="90"/>
      <c r="M3" s="90"/>
      <c r="N3" s="161"/>
      <c r="O3" s="90"/>
      <c r="P3" s="160"/>
      <c r="Q3" s="160"/>
      <c r="R3" s="160"/>
      <c r="S3" s="160"/>
      <c r="AC3" s="54">
        <v>3</v>
      </c>
    </row>
    <row r="4" spans="1:29" s="1715" customFormat="1" ht="27.4" customHeight="1">
      <c r="A4" s="690"/>
      <c r="B4" s="351"/>
      <c r="C4" s="690"/>
      <c r="D4" s="99"/>
      <c r="E4" s="3874" t="str">
        <f>NameTemplatesInListMO</f>
        <v>Перечень муниципальных районов и муниципальных образований (территорий действия тарифа)</v>
      </c>
      <c r="F4" s="3874"/>
      <c r="G4" s="3874"/>
      <c r="H4" s="3874"/>
      <c r="I4" s="3874"/>
      <c r="J4" s="182"/>
      <c r="K4" s="90"/>
      <c r="L4" s="90"/>
      <c r="M4" s="90"/>
      <c r="N4" s="161"/>
      <c r="O4" s="90"/>
      <c r="P4" s="160"/>
      <c r="Q4" s="160"/>
      <c r="R4" s="160"/>
      <c r="S4" s="160"/>
      <c r="AC4" s="54">
        <v>26</v>
      </c>
    </row>
    <row r="5" spans="1:29" s="1715" customFormat="1" ht="3" customHeight="1">
      <c r="A5" s="690"/>
      <c r="B5" s="351"/>
      <c r="C5" s="690"/>
      <c r="D5" s="99"/>
      <c r="E5" s="42"/>
      <c r="F5" s="443"/>
      <c r="G5" s="102"/>
      <c r="H5" s="102"/>
      <c r="I5" s="103"/>
      <c r="J5" s="90"/>
      <c r="K5" s="90"/>
      <c r="L5" s="90"/>
      <c r="M5" s="90"/>
      <c r="N5" s="161"/>
      <c r="O5" s="90"/>
      <c r="P5" s="160"/>
      <c r="Q5" s="160"/>
      <c r="R5" s="160"/>
      <c r="S5" s="160"/>
      <c r="AC5" s="54">
        <v>3</v>
      </c>
    </row>
    <row r="6" spans="1:29" s="1715" customFormat="1" ht="20.25" hidden="1" customHeight="1">
      <c r="A6" s="765"/>
      <c r="B6" s="761"/>
      <c r="C6" s="104"/>
      <c r="D6" s="99"/>
      <c r="E6" s="708"/>
      <c r="F6" s="708"/>
      <c r="G6" s="102"/>
      <c r="H6" s="105"/>
      <c r="I6" s="105"/>
      <c r="J6" s="90"/>
      <c r="K6" s="90"/>
      <c r="L6" s="90"/>
      <c r="M6" s="90"/>
      <c r="N6" s="161"/>
      <c r="O6" s="90"/>
      <c r="P6" s="160"/>
      <c r="Q6" s="160"/>
      <c r="R6" s="160"/>
      <c r="S6" s="160"/>
      <c r="AC6" s="54">
        <v>0</v>
      </c>
    </row>
    <row r="7" spans="1:29" ht="25.5" hidden="1" customHeight="1">
      <c r="AC7" s="22">
        <v>0</v>
      </c>
    </row>
    <row r="8" spans="1:29" s="1715" customFormat="1" ht="14.65" customHeight="1">
      <c r="A8" s="690"/>
      <c r="B8" s="351"/>
      <c r="C8" s="690"/>
      <c r="D8" s="99"/>
      <c r="E8" s="3870" t="s">
        <v>73</v>
      </c>
      <c r="F8" s="3875"/>
      <c r="G8" s="3869"/>
      <c r="H8" s="3876" t="s">
        <v>74</v>
      </c>
      <c r="I8" s="3876"/>
      <c r="J8" s="90"/>
      <c r="K8" s="90"/>
      <c r="L8" s="90"/>
      <c r="M8" s="90"/>
      <c r="N8" s="161"/>
      <c r="O8" s="90"/>
      <c r="P8" s="160"/>
      <c r="Q8" s="160"/>
      <c r="R8" s="160"/>
      <c r="S8" s="160"/>
      <c r="AC8" s="54">
        <v>14</v>
      </c>
    </row>
    <row r="9" spans="1:29" s="1715" customFormat="1" ht="21" customHeight="1">
      <c r="A9" s="690"/>
      <c r="B9" s="351"/>
      <c r="C9" s="690"/>
      <c r="D9" s="99"/>
      <c r="E9" s="706" t="s">
        <v>75</v>
      </c>
      <c r="F9" s="706"/>
      <c r="G9" s="107" t="s">
        <v>76</v>
      </c>
      <c r="H9" s="107" t="s">
        <v>76</v>
      </c>
      <c r="I9" s="107" t="s">
        <v>72</v>
      </c>
      <c r="J9" s="90"/>
      <c r="K9" s="90"/>
      <c r="L9" s="90"/>
      <c r="M9" s="90"/>
      <c r="N9" s="161"/>
      <c r="O9" s="90"/>
      <c r="P9" s="160"/>
      <c r="Q9" s="160"/>
      <c r="R9" s="160"/>
      <c r="S9" s="160"/>
      <c r="AC9" s="54">
        <v>20</v>
      </c>
    </row>
    <row r="10" spans="1:29" ht="11.45" customHeight="1">
      <c r="D10" s="111"/>
      <c r="E10" s="707" t="s">
        <v>77</v>
      </c>
      <c r="F10" s="707"/>
      <c r="G10" s="158" t="s">
        <v>78</v>
      </c>
      <c r="H10" s="158" t="s">
        <v>79</v>
      </c>
      <c r="I10" s="158" t="s">
        <v>80</v>
      </c>
      <c r="J10" s="121"/>
      <c r="K10" s="121"/>
      <c r="L10" s="121"/>
      <c r="M10" s="121"/>
      <c r="N10" s="106"/>
      <c r="O10" s="121"/>
      <c r="P10" s="159"/>
      <c r="Q10" s="159"/>
      <c r="R10" s="159"/>
      <c r="S10" s="159"/>
      <c r="AC10" s="22">
        <v>11</v>
      </c>
    </row>
    <row r="11" spans="1:29" s="1715" customFormat="1" ht="1.1499999999999999" customHeight="1">
      <c r="A11" s="690"/>
      <c r="B11" s="351"/>
      <c r="C11" s="690"/>
      <c r="D11" s="99"/>
      <c r="E11" s="718"/>
      <c r="F11" s="718"/>
      <c r="G11" s="108"/>
      <c r="H11" s="108"/>
      <c r="I11" s="110"/>
      <c r="J11" s="184" t="s">
        <v>81</v>
      </c>
      <c r="K11" s="90"/>
      <c r="L11" s="90"/>
      <c r="M11" s="90" t="s">
        <v>82</v>
      </c>
      <c r="N11" s="161" t="s">
        <v>83</v>
      </c>
      <c r="O11" s="90" t="s">
        <v>84</v>
      </c>
      <c r="P11" s="160"/>
      <c r="Q11" s="160"/>
      <c r="R11" s="160"/>
      <c r="S11" s="160"/>
      <c r="AC11" s="54">
        <v>1</v>
      </c>
    </row>
    <row r="12" spans="1:29" s="1715" customFormat="1" ht="15" customHeight="1">
      <c r="A12" s="3873">
        <v>1</v>
      </c>
      <c r="B12" s="351"/>
      <c r="C12" s="690"/>
      <c r="D12" s="710"/>
      <c r="E12" s="154">
        <f>A12</f>
        <v>1</v>
      </c>
      <c r="F12" s="730" t="s">
        <v>85</v>
      </c>
      <c r="G12" s="474" t="str">
        <f>"Территория "&amp;E12</f>
        <v>Территория 1</v>
      </c>
      <c r="H12" s="720"/>
      <c r="I12" s="720"/>
      <c r="J12" s="717"/>
      <c r="K12" s="434"/>
      <c r="L12" s="434"/>
      <c r="M12" s="434"/>
      <c r="N12" s="161"/>
      <c r="O12" s="434"/>
      <c r="P12" s="160"/>
      <c r="Q12" s="160"/>
      <c r="R12" s="160"/>
      <c r="S12" s="160"/>
      <c r="AC12" s="441">
        <v>14</v>
      </c>
    </row>
    <row r="13" spans="1:29" s="1745" customFormat="1" ht="15.75" customHeight="1">
      <c r="A13" s="3873"/>
      <c r="B13" s="351">
        <v>1</v>
      </c>
      <c r="C13" s="351"/>
      <c r="D13" s="728"/>
      <c r="E13" s="709" t="str">
        <f>A12&amp;"."&amp;B13</f>
        <v>1.1</v>
      </c>
      <c r="F13" s="723" t="s">
        <v>80</v>
      </c>
      <c r="G13" s="721" t="s">
        <v>86</v>
      </c>
      <c r="H13" s="721" t="s">
        <v>86</v>
      </c>
      <c r="I13" s="719" t="s">
        <v>87</v>
      </c>
      <c r="J13" s="434" t="e">
        <f ca="1">MERGEVALUE(G13)</f>
        <v>#NAME?</v>
      </c>
      <c r="K13" s="445"/>
      <c r="L13" s="445"/>
      <c r="M13" s="434" t="str">
        <f t="array" ref="M13">IF(ISERROR(MATCH(MID(N13,1,250),MID(note_ter,1,250),0)),"n","y")</f>
        <v>n</v>
      </c>
      <c r="N13" s="445"/>
      <c r="O13" s="434" t="str">
        <f>H13&amp;"("&amp;I13&amp;")"</f>
        <v>Вяземский муниципальный округ(66505000)</v>
      </c>
      <c r="P13" s="351"/>
      <c r="Q13" s="351"/>
      <c r="R13" s="354"/>
      <c r="S13" s="351"/>
      <c r="T13" s="351"/>
      <c r="U13" s="351"/>
      <c r="V13" s="356"/>
      <c r="W13" s="356"/>
      <c r="X13" s="353"/>
      <c r="Y13" s="353"/>
      <c r="Z13" s="353"/>
      <c r="AA13" s="353"/>
      <c r="AB13" s="353"/>
      <c r="AC13" s="357">
        <v>15</v>
      </c>
    </row>
    <row r="14" spans="1:29" s="1745" customFormat="1" ht="15.75" customHeight="1">
      <c r="A14" s="3873"/>
      <c r="B14" s="351"/>
      <c r="C14" s="346"/>
      <c r="D14" s="729"/>
      <c r="E14" s="355"/>
      <c r="F14" s="112"/>
      <c r="G14" s="349" t="s">
        <v>88</v>
      </c>
      <c r="H14" s="122"/>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ht="15" customHeight="1">
      <c r="A15" s="3877" t="s">
        <v>89</v>
      </c>
      <c r="B15" s="1084"/>
      <c r="C15" s="729" t="s">
        <v>90</v>
      </c>
      <c r="D15" s="1714"/>
      <c r="E15" s="1701" t="str">
        <f>A15</f>
        <v>2</v>
      </c>
      <c r="F15" s="732" t="s">
        <v>91</v>
      </c>
      <c r="G15" s="474" t="str">
        <f>"Территория "&amp;E15</f>
        <v>Территория 2</v>
      </c>
      <c r="H15" s="720"/>
      <c r="I15" s="720"/>
      <c r="J15" s="717"/>
      <c r="N15" s="161"/>
      <c r="T15" s="1715"/>
      <c r="U15" s="1715"/>
      <c r="V15" s="1715"/>
      <c r="W15" s="1715"/>
      <c r="X15" s="1715"/>
      <c r="Y15" s="1715"/>
      <c r="Z15" s="1715"/>
      <c r="AA15" s="1715"/>
      <c r="AB15" s="1715"/>
      <c r="AC15" s="1715"/>
    </row>
    <row r="16" spans="1:29" ht="15" customHeight="1">
      <c r="A16" s="3877"/>
      <c r="B16" s="1084">
        <v>1</v>
      </c>
      <c r="C16" s="1084"/>
      <c r="D16" s="728"/>
      <c r="E16" s="1709" t="str">
        <f>A15&amp;"."&amp;B16</f>
        <v>2.1</v>
      </c>
      <c r="F16" s="731" t="s">
        <v>80</v>
      </c>
      <c r="G16" s="721" t="s">
        <v>86</v>
      </c>
      <c r="H16" s="721" t="s">
        <v>86</v>
      </c>
      <c r="I16" s="719" t="s">
        <v>87</v>
      </c>
      <c r="K16" s="1560"/>
      <c r="L16" s="1560"/>
      <c r="M16" s="1548" t="str">
        <f t="array" ref="M16">IF(ISERROR(MATCH(MID(N16,1,250),MID(note_ter,1,250),0)),"n","y")</f>
        <v>n</v>
      </c>
      <c r="N16" s="1560"/>
      <c r="O16" s="1548" t="str">
        <f>H16&amp;"("&amp;I16&amp;")"</f>
        <v>Вяземский муниципальный округ(66505000)</v>
      </c>
      <c r="P16" s="1084"/>
      <c r="Q16" s="1084"/>
      <c r="R16" s="354"/>
      <c r="S16" s="1084"/>
      <c r="T16" s="1084"/>
      <c r="U16" s="1084"/>
      <c r="V16" s="356"/>
      <c r="W16" s="356"/>
      <c r="X16" s="353"/>
      <c r="Y16" s="353"/>
      <c r="Z16" s="353"/>
      <c r="AA16" s="353"/>
      <c r="AB16" s="353"/>
      <c r="AC16" s="353"/>
    </row>
    <row r="17" spans="1:29" ht="15" customHeight="1">
      <c r="A17" s="3877"/>
      <c r="B17" s="1290" t="s">
        <v>89</v>
      </c>
      <c r="C17" s="1290"/>
      <c r="D17" s="728" t="s">
        <v>90</v>
      </c>
      <c r="E17" s="1773" t="str">
        <f>A15&amp;"."&amp;B17</f>
        <v>2.2</v>
      </c>
      <c r="F17" s="1778" t="s">
        <v>92</v>
      </c>
      <c r="G17" s="1782" t="s">
        <v>93</v>
      </c>
      <c r="H17" s="1782" t="s">
        <v>93</v>
      </c>
      <c r="I17" s="1780" t="s">
        <v>94</v>
      </c>
      <c r="K17" s="1560"/>
      <c r="L17" s="1560"/>
      <c r="M17" s="1548" t="str">
        <f t="array" ref="M17">IF(ISERROR(MATCH(MID(N17,1,250),MID(note_ter,1,250),0)),"n","y")</f>
        <v>n</v>
      </c>
      <c r="N17" s="1560"/>
      <c r="O17" s="1548" t="str">
        <f>H17&amp;"("&amp;I17&amp;")"</f>
        <v>Гагаринский муниципальный округ(66508000)</v>
      </c>
      <c r="P17" s="1290"/>
      <c r="Q17" s="1290"/>
      <c r="R17" s="354"/>
      <c r="S17" s="1290"/>
      <c r="T17" s="1290"/>
      <c r="U17" s="1290"/>
      <c r="V17" s="761"/>
      <c r="W17" s="761"/>
      <c r="X17" s="561"/>
      <c r="Y17" s="561"/>
      <c r="Z17" s="561"/>
      <c r="AA17" s="561"/>
      <c r="AB17" s="561"/>
      <c r="AC17" s="561"/>
    </row>
    <row r="18" spans="1:29" ht="15" customHeight="1">
      <c r="A18" s="3877"/>
      <c r="B18" s="1290" t="s">
        <v>77</v>
      </c>
      <c r="C18" s="1290"/>
      <c r="D18" s="728" t="s">
        <v>90</v>
      </c>
      <c r="E18" s="1773" t="str">
        <f>A15&amp;"."&amp;B18</f>
        <v>2.3</v>
      </c>
      <c r="F18" s="1778" t="s">
        <v>95</v>
      </c>
      <c r="G18" s="1782" t="s">
        <v>96</v>
      </c>
      <c r="H18" s="1782" t="s">
        <v>96</v>
      </c>
      <c r="I18" s="1780" t="s">
        <v>97</v>
      </c>
      <c r="K18" s="1560"/>
      <c r="L18" s="1560"/>
      <c r="M18" s="1548" t="str">
        <f t="array" ref="M18">IF(ISERROR(MATCH(MID(N18,1,250),MID(note_ter,1,250),0)),"n","y")</f>
        <v>n</v>
      </c>
      <c r="N18" s="1560"/>
      <c r="O18" s="1548" t="str">
        <f>H18&amp;"("&amp;I18&amp;")"</f>
        <v>Новодугинский муниципальный округ(66530000)</v>
      </c>
      <c r="P18" s="1290"/>
      <c r="Q18" s="1290"/>
      <c r="R18" s="354"/>
      <c r="S18" s="1290"/>
      <c r="T18" s="1290"/>
      <c r="U18" s="1290"/>
      <c r="V18" s="761"/>
      <c r="W18" s="761"/>
      <c r="X18" s="561"/>
      <c r="Y18" s="561"/>
      <c r="Z18" s="561"/>
      <c r="AA18" s="561"/>
      <c r="AB18" s="561"/>
      <c r="AC18" s="561"/>
    </row>
    <row r="19" spans="1:29" ht="15" customHeight="1">
      <c r="A19" s="3877"/>
      <c r="B19" s="1290" t="s">
        <v>78</v>
      </c>
      <c r="C19" s="1290"/>
      <c r="D19" s="728" t="s">
        <v>90</v>
      </c>
      <c r="E19" s="1773" t="str">
        <f>A15&amp;"."&amp;B19</f>
        <v>2.4</v>
      </c>
      <c r="F19" s="1778" t="s">
        <v>98</v>
      </c>
      <c r="G19" s="1782" t="s">
        <v>99</v>
      </c>
      <c r="H19" s="1782" t="s">
        <v>99</v>
      </c>
      <c r="I19" s="1780" t="s">
        <v>100</v>
      </c>
      <c r="K19" s="1560"/>
      <c r="L19" s="1560"/>
      <c r="M19" s="1548" t="str">
        <f t="array" ref="M19">IF(ISERROR(MATCH(MID(N19,1,250),MID(note_ter,1,250),0)),"n","y")</f>
        <v>n</v>
      </c>
      <c r="N19" s="1560"/>
      <c r="O19" s="1548" t="str">
        <f>H19&amp;"("&amp;I19&amp;")"</f>
        <v>Сычевский муниципальный округ(66546000)</v>
      </c>
      <c r="P19" s="1290"/>
      <c r="Q19" s="1290"/>
      <c r="R19" s="354"/>
      <c r="S19" s="1290"/>
      <c r="T19" s="1290"/>
      <c r="U19" s="1290"/>
      <c r="V19" s="761"/>
      <c r="W19" s="761"/>
      <c r="X19" s="561"/>
      <c r="Y19" s="561"/>
      <c r="Z19" s="561"/>
      <c r="AA19" s="561"/>
      <c r="AB19" s="561"/>
      <c r="AC19" s="561"/>
    </row>
    <row r="20" spans="1:29" ht="15" customHeight="1">
      <c r="A20" s="3877"/>
      <c r="B20" s="1084"/>
      <c r="C20" s="346"/>
      <c r="D20" s="729"/>
      <c r="E20" s="355"/>
      <c r="F20" s="112"/>
      <c r="G20" s="349" t="s">
        <v>88</v>
      </c>
      <c r="H20" s="122"/>
      <c r="I20" s="358"/>
      <c r="J20" s="1560"/>
      <c r="K20" s="1560"/>
      <c r="L20" s="1560"/>
      <c r="M20" s="1560"/>
      <c r="O20" s="1560"/>
      <c r="P20" s="1084"/>
      <c r="Q20" s="1084"/>
      <c r="R20" s="354"/>
      <c r="S20" s="1084"/>
      <c r="T20" s="1084"/>
      <c r="U20" s="1084"/>
      <c r="V20" s="356"/>
      <c r="W20" s="356"/>
      <c r="X20" s="353"/>
      <c r="Y20" s="353"/>
      <c r="Z20" s="353"/>
      <c r="AA20" s="353"/>
      <c r="AB20" s="353"/>
      <c r="AC20" s="353"/>
    </row>
    <row r="21" spans="1:29" ht="15" customHeight="1">
      <c r="A21" s="3877" t="s">
        <v>77</v>
      </c>
      <c r="B21" s="1084"/>
      <c r="C21" s="729" t="s">
        <v>90</v>
      </c>
      <c r="D21" s="1714"/>
      <c r="E21" s="1701" t="str">
        <f>A21</f>
        <v>3</v>
      </c>
      <c r="F21" s="732" t="s">
        <v>101</v>
      </c>
      <c r="G21" s="474" t="str">
        <f>"Территория "&amp;E21</f>
        <v>Территория 3</v>
      </c>
      <c r="H21" s="720"/>
      <c r="I21" s="720"/>
      <c r="J21" s="717"/>
      <c r="N21" s="161"/>
      <c r="T21" s="1715"/>
      <c r="U21" s="1715"/>
      <c r="V21" s="1715"/>
      <c r="W21" s="1715"/>
      <c r="X21" s="1715"/>
      <c r="Y21" s="1715"/>
      <c r="Z21" s="1715"/>
      <c r="AA21" s="1715"/>
      <c r="AB21" s="1715"/>
      <c r="AC21" s="1715"/>
    </row>
    <row r="22" spans="1:29" ht="15" customHeight="1">
      <c r="A22" s="3877"/>
      <c r="B22" s="1084">
        <v>1</v>
      </c>
      <c r="C22" s="1084"/>
      <c r="D22" s="728"/>
      <c r="E22" s="1709" t="str">
        <f>A21&amp;"."&amp;B22</f>
        <v>3.1</v>
      </c>
      <c r="F22" s="731" t="s">
        <v>102</v>
      </c>
      <c r="G22" s="721" t="s">
        <v>103</v>
      </c>
      <c r="H22" s="721" t="s">
        <v>103</v>
      </c>
      <c r="I22" s="719" t="s">
        <v>104</v>
      </c>
      <c r="K22" s="1560"/>
      <c r="L22" s="1560"/>
      <c r="M22" s="1548" t="str">
        <f t="array" ref="M22">IF(ISERROR(MATCH(MID(N22,1,250),MID(note_ter,1,250),0)),"n","y")</f>
        <v>n</v>
      </c>
      <c r="N22" s="1560"/>
      <c r="O22" s="1548" t="str">
        <f>H22&amp;"("&amp;I22&amp;")"</f>
        <v>Рославльский муниципальный округ(66536000)</v>
      </c>
      <c r="P22" s="1084"/>
      <c r="Q22" s="1084"/>
      <c r="R22" s="354"/>
      <c r="S22" s="1084"/>
      <c r="T22" s="1084"/>
      <c r="U22" s="1084"/>
      <c r="V22" s="356"/>
      <c r="W22" s="356"/>
      <c r="X22" s="353"/>
      <c r="Y22" s="353"/>
      <c r="Z22" s="353"/>
      <c r="AA22" s="353"/>
      <c r="AB22" s="353"/>
      <c r="AC22" s="353"/>
    </row>
    <row r="23" spans="1:29" ht="15" customHeight="1">
      <c r="A23" s="3877"/>
      <c r="B23" s="1290" t="s">
        <v>89</v>
      </c>
      <c r="C23" s="1290"/>
      <c r="D23" s="728" t="s">
        <v>90</v>
      </c>
      <c r="E23" s="1773" t="str">
        <f>A21&amp;"."&amp;B23</f>
        <v>3.2</v>
      </c>
      <c r="F23" s="1778" t="s">
        <v>105</v>
      </c>
      <c r="G23" s="1782" t="s">
        <v>106</v>
      </c>
      <c r="H23" s="1782" t="s">
        <v>106</v>
      </c>
      <c r="I23" s="1780" t="s">
        <v>107</v>
      </c>
      <c r="K23" s="1560"/>
      <c r="L23" s="1560"/>
      <c r="M23" s="1548" t="str">
        <f t="array" ref="M23">IF(ISERROR(MATCH(MID(N23,1,250),MID(note_ter,1,250),0)),"n","y")</f>
        <v>n</v>
      </c>
      <c r="N23" s="1560"/>
      <c r="O23" s="1548" t="str">
        <f>H23&amp;"("&amp;I23&amp;")"</f>
        <v>Починковский муниципальный округ(66533000)</v>
      </c>
      <c r="P23" s="1290"/>
      <c r="Q23" s="1290"/>
      <c r="R23" s="354"/>
      <c r="S23" s="1290"/>
      <c r="T23" s="1290"/>
      <c r="U23" s="1290"/>
      <c r="V23" s="761"/>
      <c r="W23" s="761"/>
      <c r="X23" s="561"/>
      <c r="Y23" s="561"/>
      <c r="Z23" s="561"/>
      <c r="AA23" s="561"/>
      <c r="AB23" s="561"/>
      <c r="AC23" s="561"/>
    </row>
    <row r="24" spans="1:29" ht="15" customHeight="1">
      <c r="A24" s="3877"/>
      <c r="B24" s="1290" t="s">
        <v>77</v>
      </c>
      <c r="C24" s="1290"/>
      <c r="D24" s="728" t="s">
        <v>90</v>
      </c>
      <c r="E24" s="1773" t="str">
        <f>A21&amp;"."&amp;B24</f>
        <v>3.3</v>
      </c>
      <c r="F24" s="1778" t="s">
        <v>108</v>
      </c>
      <c r="G24" s="1782" t="s">
        <v>109</v>
      </c>
      <c r="H24" s="1782" t="s">
        <v>109</v>
      </c>
      <c r="I24" s="1780" t="s">
        <v>110</v>
      </c>
      <c r="K24" s="1560"/>
      <c r="L24" s="1560"/>
      <c r="M24" s="1548" t="str">
        <f t="array" ref="M24">IF(ISERROR(MATCH(MID(N24,1,250),MID(note_ter,1,250),0)),"n","y")</f>
        <v>n</v>
      </c>
      <c r="N24" s="1560"/>
      <c r="O24" s="1548" t="str">
        <f>H24&amp;"("&amp;I24&amp;")"</f>
        <v>Ершичский муниципальный округ(66521000)</v>
      </c>
      <c r="P24" s="1290"/>
      <c r="Q24" s="1290"/>
      <c r="R24" s="354"/>
      <c r="S24" s="1290"/>
      <c r="T24" s="1290"/>
      <c r="U24" s="1290"/>
      <c r="V24" s="761"/>
      <c r="W24" s="761"/>
      <c r="X24" s="561"/>
      <c r="Y24" s="561"/>
      <c r="Z24" s="561"/>
      <c r="AA24" s="561"/>
      <c r="AB24" s="561"/>
      <c r="AC24" s="561"/>
    </row>
    <row r="25" spans="1:29" ht="15" customHeight="1">
      <c r="A25" s="3877"/>
      <c r="B25" s="1290" t="s">
        <v>78</v>
      </c>
      <c r="C25" s="1290"/>
      <c r="D25" s="728" t="s">
        <v>90</v>
      </c>
      <c r="E25" s="1773" t="str">
        <f>A21&amp;"."&amp;B25</f>
        <v>3.4</v>
      </c>
      <c r="F25" s="1778" t="s">
        <v>111</v>
      </c>
      <c r="G25" s="1782" t="s">
        <v>112</v>
      </c>
      <c r="H25" s="1782" t="s">
        <v>112</v>
      </c>
      <c r="I25" s="1780" t="s">
        <v>113</v>
      </c>
      <c r="K25" s="1560"/>
      <c r="L25" s="1560"/>
      <c r="M25" s="1548" t="str">
        <f t="array" ref="M25">IF(ISERROR(MATCH(MID(N25,1,250),MID(note_ter,1,250),0)),"n","y")</f>
        <v>n</v>
      </c>
      <c r="N25" s="1560"/>
      <c r="O25" s="1548" t="str">
        <f>H25&amp;"("&amp;I25&amp;")"</f>
        <v>Шумячский муниципальный округ(66556000)</v>
      </c>
      <c r="P25" s="1290"/>
      <c r="Q25" s="1290"/>
      <c r="R25" s="354"/>
      <c r="S25" s="1290"/>
      <c r="T25" s="1290"/>
      <c r="U25" s="1290"/>
      <c r="V25" s="761"/>
      <c r="W25" s="761"/>
      <c r="X25" s="561"/>
      <c r="Y25" s="561"/>
      <c r="Z25" s="561"/>
      <c r="AA25" s="561"/>
      <c r="AB25" s="561"/>
      <c r="AC25" s="561"/>
    </row>
    <row r="26" spans="1:29" ht="15" customHeight="1">
      <c r="A26" s="3877"/>
      <c r="B26" s="1084"/>
      <c r="C26" s="346"/>
      <c r="D26" s="729"/>
      <c r="E26" s="355"/>
      <c r="F26" s="112"/>
      <c r="G26" s="349" t="s">
        <v>88</v>
      </c>
      <c r="H26" s="122"/>
      <c r="I26" s="358"/>
      <c r="J26" s="1560"/>
      <c r="K26" s="1560"/>
      <c r="L26" s="1560"/>
      <c r="M26" s="1560"/>
      <c r="O26" s="1560"/>
      <c r="P26" s="1084"/>
      <c r="Q26" s="1084"/>
      <c r="R26" s="354"/>
      <c r="S26" s="1084"/>
      <c r="T26" s="1084"/>
      <c r="U26" s="1084"/>
      <c r="V26" s="356"/>
      <c r="W26" s="356"/>
      <c r="X26" s="353"/>
      <c r="Y26" s="353"/>
      <c r="Z26" s="353"/>
      <c r="AA26" s="353"/>
      <c r="AB26" s="353"/>
      <c r="AC26" s="353"/>
    </row>
    <row r="27" spans="1:29" ht="15" customHeight="1">
      <c r="A27" s="3877" t="s">
        <v>78</v>
      </c>
      <c r="B27" s="1084"/>
      <c r="C27" s="729" t="s">
        <v>90</v>
      </c>
      <c r="D27" s="1714"/>
      <c r="E27" s="1701" t="str">
        <f>A27</f>
        <v>4</v>
      </c>
      <c r="F27" s="732" t="s">
        <v>114</v>
      </c>
      <c r="G27" s="474" t="str">
        <f>"Территория "&amp;E27</f>
        <v>Территория 4</v>
      </c>
      <c r="H27" s="720"/>
      <c r="I27" s="720"/>
      <c r="J27" s="717"/>
      <c r="N27" s="161"/>
      <c r="T27" s="1715"/>
      <c r="U27" s="1715"/>
      <c r="V27" s="1715"/>
      <c r="W27" s="1715"/>
      <c r="X27" s="1715"/>
      <c r="Y27" s="1715"/>
      <c r="Z27" s="1715"/>
      <c r="AA27" s="1715"/>
      <c r="AB27" s="1715"/>
      <c r="AC27" s="1715"/>
    </row>
    <row r="28" spans="1:29" ht="15" customHeight="1">
      <c r="A28" s="3877"/>
      <c r="B28" s="1084">
        <v>1</v>
      </c>
      <c r="C28" s="1084"/>
      <c r="D28" s="728"/>
      <c r="E28" s="1709" t="str">
        <f>A27&amp;"."&amp;B28</f>
        <v>4.1</v>
      </c>
      <c r="F28" s="731" t="s">
        <v>102</v>
      </c>
      <c r="G28" s="721" t="s">
        <v>103</v>
      </c>
      <c r="H28" s="721" t="s">
        <v>103</v>
      </c>
      <c r="I28" s="719" t="s">
        <v>104</v>
      </c>
      <c r="K28" s="1560"/>
      <c r="L28" s="1560"/>
      <c r="M28" s="1548" t="str">
        <f t="array" ref="M28">IF(ISERROR(MATCH(MID(N28,1,250),MID(note_ter,1,250),0)),"n","y")</f>
        <v>n</v>
      </c>
      <c r="N28" s="1560"/>
      <c r="O28" s="1548" t="str">
        <f>H28&amp;"("&amp;I28&amp;")"</f>
        <v>Рославльский муниципальный округ(66536000)</v>
      </c>
      <c r="P28" s="1084"/>
      <c r="Q28" s="1084"/>
      <c r="R28" s="354"/>
      <c r="S28" s="1084"/>
      <c r="T28" s="1084"/>
      <c r="U28" s="1084"/>
      <c r="V28" s="356"/>
      <c r="W28" s="356"/>
      <c r="X28" s="353"/>
      <c r="Y28" s="353"/>
      <c r="Z28" s="353"/>
      <c r="AA28" s="353"/>
      <c r="AB28" s="353"/>
      <c r="AC28" s="353"/>
    </row>
    <row r="29" spans="1:29" ht="15" customHeight="1">
      <c r="A29" s="3877"/>
      <c r="B29" s="1084"/>
      <c r="C29" s="346"/>
      <c r="D29" s="729"/>
      <c r="E29" s="355"/>
      <c r="F29" s="112"/>
      <c r="G29" s="349" t="s">
        <v>88</v>
      </c>
      <c r="H29" s="122"/>
      <c r="I29" s="358"/>
      <c r="J29" s="1560"/>
      <c r="K29" s="1560"/>
      <c r="L29" s="1560"/>
      <c r="M29" s="1560"/>
      <c r="O29" s="1560"/>
      <c r="P29" s="1084"/>
      <c r="Q29" s="1084"/>
      <c r="R29" s="354"/>
      <c r="S29" s="1084"/>
      <c r="T29" s="1084"/>
      <c r="U29" s="1084"/>
      <c r="V29" s="356"/>
      <c r="W29" s="356"/>
      <c r="X29" s="353"/>
      <c r="Y29" s="353"/>
      <c r="Z29" s="353"/>
      <c r="AA29" s="353"/>
      <c r="AB29" s="353"/>
      <c r="AC29" s="353"/>
    </row>
    <row r="30" spans="1:29" ht="15" customHeight="1">
      <c r="A30" s="3877" t="s">
        <v>115</v>
      </c>
      <c r="B30" s="1084"/>
      <c r="C30" s="729" t="s">
        <v>90</v>
      </c>
      <c r="D30" s="1714"/>
      <c r="E30" s="1701" t="str">
        <f>A30</f>
        <v>5</v>
      </c>
      <c r="F30" s="732" t="s">
        <v>116</v>
      </c>
      <c r="G30" s="474" t="str">
        <f>"Территория "&amp;E30</f>
        <v>Территория 5</v>
      </c>
      <c r="H30" s="720"/>
      <c r="I30" s="720"/>
      <c r="J30" s="717"/>
      <c r="N30" s="161"/>
      <c r="T30" s="1715"/>
      <c r="U30" s="1715"/>
      <c r="V30" s="1715"/>
      <c r="W30" s="1715"/>
      <c r="X30" s="1715"/>
      <c r="Y30" s="1715"/>
      <c r="Z30" s="1715"/>
      <c r="AA30" s="1715"/>
      <c r="AB30" s="1715"/>
      <c r="AC30" s="1715"/>
    </row>
    <row r="31" spans="1:29" ht="15" customHeight="1">
      <c r="A31" s="3877"/>
      <c r="B31" s="1084">
        <v>1</v>
      </c>
      <c r="C31" s="1084"/>
      <c r="D31" s="728"/>
      <c r="E31" s="1709" t="str">
        <f>A30&amp;"."&amp;B31</f>
        <v>5.1</v>
      </c>
      <c r="F31" s="731" t="s">
        <v>117</v>
      </c>
      <c r="G31" s="721" t="s">
        <v>118</v>
      </c>
      <c r="H31" s="721" t="s">
        <v>118</v>
      </c>
      <c r="I31" s="719" t="s">
        <v>119</v>
      </c>
      <c r="K31" s="1560"/>
      <c r="L31" s="1560"/>
      <c r="M31" s="1548" t="str">
        <f t="array" ref="M31">IF(ISERROR(MATCH(MID(N31,1,250),MID(note_ter,1,250),0)),"n","y")</f>
        <v>n</v>
      </c>
      <c r="N31" s="1560"/>
      <c r="O31" s="1548" t="str">
        <f>H31&amp;"("&amp;I31&amp;")"</f>
        <v>Сафоновский муниципальный округ(66541000)</v>
      </c>
      <c r="P31" s="1084"/>
      <c r="Q31" s="1084"/>
      <c r="R31" s="354"/>
      <c r="S31" s="1084"/>
      <c r="T31" s="1084"/>
      <c r="U31" s="1084"/>
      <c r="V31" s="356"/>
      <c r="W31" s="356"/>
      <c r="X31" s="353"/>
      <c r="Y31" s="353"/>
      <c r="Z31" s="353"/>
      <c r="AA31" s="353"/>
      <c r="AB31" s="353"/>
      <c r="AC31" s="353"/>
    </row>
    <row r="32" spans="1:29" ht="15" customHeight="1">
      <c r="A32" s="3877"/>
      <c r="B32" s="1290" t="s">
        <v>89</v>
      </c>
      <c r="C32" s="1290"/>
      <c r="D32" s="728" t="s">
        <v>90</v>
      </c>
      <c r="E32" s="1773" t="str">
        <f>A30&amp;"."&amp;B32</f>
        <v>5.2</v>
      </c>
      <c r="F32" s="1778" t="s">
        <v>120</v>
      </c>
      <c r="G32" s="1782" t="s">
        <v>121</v>
      </c>
      <c r="H32" s="1782" t="s">
        <v>121</v>
      </c>
      <c r="I32" s="1780" t="s">
        <v>122</v>
      </c>
      <c r="K32" s="1560"/>
      <c r="L32" s="1560"/>
      <c r="M32" s="1548" t="str">
        <f t="array" ref="M32">IF(ISERROR(MATCH(MID(N32,1,250),MID(note_ter,1,250),0)),"n","y")</f>
        <v>n</v>
      </c>
      <c r="N32" s="1560"/>
      <c r="O32" s="1548" t="str">
        <f>H32&amp;"("&amp;I32&amp;")"</f>
        <v>Духовщинский муниципальный округ(66516000)</v>
      </c>
      <c r="P32" s="1290"/>
      <c r="Q32" s="1290"/>
      <c r="R32" s="354"/>
      <c r="S32" s="1290"/>
      <c r="T32" s="1290"/>
      <c r="U32" s="1290"/>
      <c r="V32" s="761"/>
      <c r="W32" s="761"/>
      <c r="X32" s="561"/>
      <c r="Y32" s="561"/>
      <c r="Z32" s="561"/>
      <c r="AA32" s="561"/>
      <c r="AB32" s="561"/>
      <c r="AC32" s="561"/>
    </row>
    <row r="33" spans="1:29" ht="15" customHeight="1">
      <c r="A33" s="3877"/>
      <c r="B33" s="1290" t="s">
        <v>77</v>
      </c>
      <c r="C33" s="1290"/>
      <c r="D33" s="728" t="s">
        <v>90</v>
      </c>
      <c r="E33" s="1773" t="str">
        <f>A30&amp;"."&amp;B33</f>
        <v>5.3</v>
      </c>
      <c r="F33" s="1778" t="s">
        <v>123</v>
      </c>
      <c r="G33" s="1782" t="s">
        <v>124</v>
      </c>
      <c r="H33" s="1782" t="s">
        <v>124</v>
      </c>
      <c r="I33" s="1780" t="s">
        <v>125</v>
      </c>
      <c r="K33" s="1560"/>
      <c r="L33" s="1560"/>
      <c r="M33" s="1548" t="str">
        <f t="array" ref="M33">IF(ISERROR(MATCH(MID(N33,1,250),MID(note_ter,1,250),0)),"n","y")</f>
        <v>n</v>
      </c>
      <c r="N33" s="1560"/>
      <c r="O33" s="1548" t="str">
        <f>H33&amp;"("&amp;I33&amp;")"</f>
        <v>Ельнинский муниципальный округ(66519000)</v>
      </c>
      <c r="P33" s="1290"/>
      <c r="Q33" s="1290"/>
      <c r="R33" s="354"/>
      <c r="S33" s="1290"/>
      <c r="T33" s="1290"/>
      <c r="U33" s="1290"/>
      <c r="V33" s="761"/>
      <c r="W33" s="761"/>
      <c r="X33" s="561"/>
      <c r="Y33" s="561"/>
      <c r="Z33" s="561"/>
      <c r="AA33" s="561"/>
      <c r="AB33" s="561"/>
      <c r="AC33" s="561"/>
    </row>
    <row r="34" spans="1:29" ht="15" customHeight="1">
      <c r="A34" s="3877"/>
      <c r="B34" s="1290" t="s">
        <v>78</v>
      </c>
      <c r="C34" s="1290"/>
      <c r="D34" s="728" t="s">
        <v>90</v>
      </c>
      <c r="E34" s="1773" t="str">
        <f>A30&amp;"."&amp;B34</f>
        <v>5.4</v>
      </c>
      <c r="F34" s="1778" t="s">
        <v>126</v>
      </c>
      <c r="G34" s="1782" t="s">
        <v>127</v>
      </c>
      <c r="H34" s="1782" t="s">
        <v>127</v>
      </c>
      <c r="I34" s="1780" t="s">
        <v>128</v>
      </c>
      <c r="K34" s="1560"/>
      <c r="L34" s="1560"/>
      <c r="M34" s="1548" t="str">
        <f t="array" ref="M34">IF(ISERROR(MATCH(MID(N34,1,250),MID(note_ter,1,250),0)),"n","y")</f>
        <v>n</v>
      </c>
      <c r="N34" s="1560"/>
      <c r="O34" s="1548" t="str">
        <f>H34&amp;"("&amp;I34&amp;")"</f>
        <v>Холм-Жирковский муниципальный округ(66554000)</v>
      </c>
      <c r="P34" s="1290"/>
      <c r="Q34" s="1290"/>
      <c r="R34" s="354"/>
      <c r="S34" s="1290"/>
      <c r="T34" s="1290"/>
      <c r="U34" s="1290"/>
      <c r="V34" s="761"/>
      <c r="W34" s="761"/>
      <c r="X34" s="561"/>
      <c r="Y34" s="561"/>
      <c r="Z34" s="561"/>
      <c r="AA34" s="561"/>
      <c r="AB34" s="561"/>
      <c r="AC34" s="561"/>
    </row>
    <row r="35" spans="1:29" ht="15" customHeight="1">
      <c r="A35" s="3877"/>
      <c r="B35" s="1084"/>
      <c r="C35" s="346"/>
      <c r="D35" s="729"/>
      <c r="E35" s="355"/>
      <c r="F35" s="112"/>
      <c r="G35" s="349" t="s">
        <v>88</v>
      </c>
      <c r="H35" s="122"/>
      <c r="I35" s="358"/>
      <c r="J35" s="1560"/>
      <c r="K35" s="1560"/>
      <c r="L35" s="1560"/>
      <c r="M35" s="1560"/>
      <c r="O35" s="1560"/>
      <c r="P35" s="1084"/>
      <c r="Q35" s="1084"/>
      <c r="R35" s="354"/>
      <c r="S35" s="1084"/>
      <c r="T35" s="1084"/>
      <c r="U35" s="1084"/>
      <c r="V35" s="356"/>
      <c r="W35" s="356"/>
      <c r="X35" s="353"/>
      <c r="Y35" s="353"/>
      <c r="Z35" s="353"/>
      <c r="AA35" s="353"/>
      <c r="AB35" s="353"/>
      <c r="AC35" s="353"/>
    </row>
    <row r="36" spans="1:29" ht="15" customHeight="1">
      <c r="A36" s="3877" t="s">
        <v>79</v>
      </c>
      <c r="B36" s="1084"/>
      <c r="C36" s="729" t="s">
        <v>90</v>
      </c>
      <c r="D36" s="1714"/>
      <c r="E36" s="1701" t="str">
        <f>A36</f>
        <v>6</v>
      </c>
      <c r="F36" s="732" t="s">
        <v>129</v>
      </c>
      <c r="G36" s="474" t="str">
        <f>"Территория "&amp;E36</f>
        <v>Территория 6</v>
      </c>
      <c r="H36" s="720"/>
      <c r="I36" s="720"/>
      <c r="J36" s="717"/>
      <c r="N36" s="161"/>
      <c r="T36" s="1715"/>
      <c r="U36" s="1715"/>
      <c r="V36" s="1715"/>
      <c r="W36" s="1715"/>
      <c r="X36" s="1715"/>
      <c r="Y36" s="1715"/>
      <c r="Z36" s="1715"/>
      <c r="AA36" s="1715"/>
      <c r="AB36" s="1715"/>
      <c r="AC36" s="1715"/>
    </row>
    <row r="37" spans="1:29" ht="15" customHeight="1">
      <c r="A37" s="3877"/>
      <c r="B37" s="1084">
        <v>1</v>
      </c>
      <c r="C37" s="1084"/>
      <c r="D37" s="728"/>
      <c r="E37" s="1709" t="str">
        <f>A36&amp;"."&amp;B37</f>
        <v>6.1</v>
      </c>
      <c r="F37" s="731" t="s">
        <v>117</v>
      </c>
      <c r="G37" s="721" t="s">
        <v>118</v>
      </c>
      <c r="H37" s="721" t="s">
        <v>118</v>
      </c>
      <c r="I37" s="719" t="s">
        <v>119</v>
      </c>
      <c r="K37" s="1560"/>
      <c r="L37" s="1560"/>
      <c r="M37" s="1548" t="str">
        <f t="array" ref="M37">IF(ISERROR(MATCH(MID(N37,1,250),MID(note_ter,1,250),0)),"n","y")</f>
        <v>n</v>
      </c>
      <c r="N37" s="1560"/>
      <c r="O37" s="1548" t="str">
        <f>H37&amp;"("&amp;I37&amp;")"</f>
        <v>Сафоновский муниципальный округ(66541000)</v>
      </c>
      <c r="P37" s="1084"/>
      <c r="Q37" s="1084"/>
      <c r="R37" s="354"/>
      <c r="S37" s="1084"/>
      <c r="T37" s="1084"/>
      <c r="U37" s="1084"/>
      <c r="V37" s="356"/>
      <c r="W37" s="356"/>
      <c r="X37" s="353"/>
      <c r="Y37" s="353"/>
      <c r="Z37" s="353"/>
      <c r="AA37" s="353"/>
      <c r="AB37" s="353"/>
      <c r="AC37" s="353"/>
    </row>
    <row r="38" spans="1:29" ht="15" customHeight="1">
      <c r="A38" s="3877"/>
      <c r="B38" s="1084"/>
      <c r="C38" s="346"/>
      <c r="D38" s="729"/>
      <c r="E38" s="355"/>
      <c r="F38" s="112"/>
      <c r="G38" s="349" t="s">
        <v>88</v>
      </c>
      <c r="H38" s="122"/>
      <c r="I38" s="358"/>
      <c r="J38" s="1560"/>
      <c r="K38" s="1560"/>
      <c r="L38" s="1560"/>
      <c r="M38" s="1560"/>
      <c r="O38" s="1560"/>
      <c r="P38" s="1084"/>
      <c r="Q38" s="1084"/>
      <c r="R38" s="354"/>
      <c r="S38" s="1084"/>
      <c r="T38" s="1084"/>
      <c r="U38" s="1084"/>
      <c r="V38" s="356"/>
      <c r="W38" s="356"/>
      <c r="X38" s="353"/>
      <c r="Y38" s="353"/>
      <c r="Z38" s="353"/>
      <c r="AA38" s="353"/>
      <c r="AB38" s="353"/>
      <c r="AC38" s="353"/>
    </row>
    <row r="39" spans="1:29" ht="15" customHeight="1">
      <c r="A39" s="3877" t="s">
        <v>80</v>
      </c>
      <c r="B39" s="1084"/>
      <c r="C39" s="729" t="s">
        <v>90</v>
      </c>
      <c r="D39" s="1714"/>
      <c r="E39" s="1701" t="str">
        <f>A39</f>
        <v>7</v>
      </c>
      <c r="F39" s="732" t="s">
        <v>130</v>
      </c>
      <c r="G39" s="474" t="str">
        <f>"Территория "&amp;E39</f>
        <v>Территория 7</v>
      </c>
      <c r="H39" s="720"/>
      <c r="I39" s="720"/>
      <c r="J39" s="717"/>
      <c r="N39" s="161"/>
      <c r="T39" s="1715"/>
      <c r="U39" s="1715"/>
      <c r="V39" s="1715"/>
      <c r="W39" s="1715"/>
      <c r="X39" s="1715"/>
      <c r="Y39" s="1715"/>
      <c r="Z39" s="1715"/>
      <c r="AA39" s="1715"/>
      <c r="AB39" s="1715"/>
      <c r="AC39" s="1715"/>
    </row>
    <row r="40" spans="1:29" ht="15" customHeight="1">
      <c r="A40" s="3877"/>
      <c r="B40" s="1084">
        <v>1</v>
      </c>
      <c r="C40" s="1084"/>
      <c r="D40" s="728"/>
      <c r="E40" s="1709" t="str">
        <f>A39&amp;"."&amp;B40</f>
        <v>7.1</v>
      </c>
      <c r="F40" s="731" t="s">
        <v>131</v>
      </c>
      <c r="G40" s="721" t="s">
        <v>132</v>
      </c>
      <c r="H40" s="721" t="s">
        <v>132</v>
      </c>
      <c r="I40" s="719" t="s">
        <v>133</v>
      </c>
      <c r="K40" s="1560"/>
      <c r="L40" s="1560"/>
      <c r="M40" s="1548" t="str">
        <f t="array" ref="M40">IF(ISERROR(MATCH(MID(N40,1,250),MID(note_ter,1,250),0)),"n","y")</f>
        <v>n</v>
      </c>
      <c r="N40" s="1560"/>
      <c r="O40" s="1548" t="str">
        <f>H40&amp;"("&amp;I40&amp;")"</f>
        <v>Дорогобужский муниципальный округ(66514000)</v>
      </c>
      <c r="P40" s="1084"/>
      <c r="Q40" s="1084"/>
      <c r="R40" s="354"/>
      <c r="S40" s="1084"/>
      <c r="T40" s="1084"/>
      <c r="U40" s="1084"/>
      <c r="V40" s="356"/>
      <c r="W40" s="356"/>
      <c r="X40" s="353"/>
      <c r="Y40" s="353"/>
      <c r="Z40" s="353"/>
      <c r="AA40" s="353"/>
      <c r="AB40" s="353"/>
      <c r="AC40" s="353"/>
    </row>
    <row r="41" spans="1:29" ht="15" customHeight="1">
      <c r="A41" s="3877"/>
      <c r="B41" s="1084"/>
      <c r="C41" s="346"/>
      <c r="D41" s="729"/>
      <c r="E41" s="355"/>
      <c r="F41" s="112"/>
      <c r="G41" s="349" t="s">
        <v>88</v>
      </c>
      <c r="H41" s="122"/>
      <c r="I41" s="358"/>
      <c r="J41" s="1560"/>
      <c r="K41" s="1560"/>
      <c r="L41" s="1560"/>
      <c r="M41" s="1560"/>
      <c r="O41" s="1560"/>
      <c r="P41" s="1084"/>
      <c r="Q41" s="1084"/>
      <c r="R41" s="354"/>
      <c r="S41" s="1084"/>
      <c r="T41" s="1084"/>
      <c r="U41" s="1084"/>
      <c r="V41" s="356"/>
      <c r="W41" s="356"/>
      <c r="X41" s="353"/>
      <c r="Y41" s="353"/>
      <c r="Z41" s="353"/>
      <c r="AA41" s="353"/>
      <c r="AB41" s="353"/>
      <c r="AC41" s="353"/>
    </row>
    <row r="42" spans="1:29" ht="15" customHeight="1">
      <c r="A42" s="3877" t="s">
        <v>134</v>
      </c>
      <c r="B42" s="1084"/>
      <c r="C42" s="729" t="s">
        <v>90</v>
      </c>
      <c r="D42" s="1714"/>
      <c r="E42" s="1701" t="str">
        <f>A42</f>
        <v>8</v>
      </c>
      <c r="F42" s="732" t="s">
        <v>135</v>
      </c>
      <c r="G42" s="474" t="str">
        <f>"Территория "&amp;E42</f>
        <v>Территория 8</v>
      </c>
      <c r="H42" s="720"/>
      <c r="I42" s="720"/>
      <c r="J42" s="717"/>
      <c r="N42" s="161"/>
      <c r="T42" s="1715"/>
      <c r="U42" s="1715"/>
      <c r="V42" s="1715"/>
      <c r="W42" s="1715"/>
      <c r="X42" s="1715"/>
      <c r="Y42" s="1715"/>
      <c r="Z42" s="1715"/>
      <c r="AA42" s="1715"/>
      <c r="AB42" s="1715"/>
      <c r="AC42" s="1715"/>
    </row>
    <row r="43" spans="1:29" ht="15" customHeight="1">
      <c r="A43" s="3877"/>
      <c r="B43" s="1084">
        <v>1</v>
      </c>
      <c r="C43" s="1084"/>
      <c r="D43" s="728"/>
      <c r="E43" s="1709" t="str">
        <f>A42&amp;"."&amp;B43</f>
        <v>8.1</v>
      </c>
      <c r="F43" s="731" t="s">
        <v>126</v>
      </c>
      <c r="G43" s="721" t="s">
        <v>127</v>
      </c>
      <c r="H43" s="721" t="s">
        <v>127</v>
      </c>
      <c r="I43" s="719" t="s">
        <v>128</v>
      </c>
      <c r="K43" s="1560"/>
      <c r="L43" s="1560"/>
      <c r="M43" s="1548" t="str">
        <f t="array" ref="M43">IF(ISERROR(MATCH(MID(N43,1,250),MID(note_ter,1,250),0)),"n","y")</f>
        <v>n</v>
      </c>
      <c r="N43" s="1560"/>
      <c r="O43" s="1548" t="str">
        <f>H43&amp;"("&amp;I43&amp;")"</f>
        <v>Холм-Жирковский муниципальный округ(66554000)</v>
      </c>
      <c r="P43" s="1084"/>
      <c r="Q43" s="1084"/>
      <c r="R43" s="354"/>
      <c r="S43" s="1084"/>
      <c r="T43" s="1084"/>
      <c r="U43" s="1084"/>
      <c r="V43" s="356"/>
      <c r="W43" s="356"/>
      <c r="X43" s="353"/>
      <c r="Y43" s="353"/>
      <c r="Z43" s="353"/>
      <c r="AA43" s="353"/>
      <c r="AB43" s="353"/>
      <c r="AC43" s="353"/>
    </row>
    <row r="44" spans="1:29" ht="15" customHeight="1">
      <c r="A44" s="3877"/>
      <c r="B44" s="1084"/>
      <c r="C44" s="346"/>
      <c r="D44" s="729"/>
      <c r="E44" s="355"/>
      <c r="F44" s="112"/>
      <c r="G44" s="349" t="s">
        <v>88</v>
      </c>
      <c r="H44" s="122"/>
      <c r="I44" s="358"/>
      <c r="J44" s="1560"/>
      <c r="K44" s="1560"/>
      <c r="L44" s="1560"/>
      <c r="M44" s="1560"/>
      <c r="O44" s="1560"/>
      <c r="P44" s="1084"/>
      <c r="Q44" s="1084"/>
      <c r="R44" s="354"/>
      <c r="S44" s="1084"/>
      <c r="T44" s="1084"/>
      <c r="U44" s="1084"/>
      <c r="V44" s="356"/>
      <c r="W44" s="356"/>
      <c r="X44" s="353"/>
      <c r="Y44" s="353"/>
      <c r="Z44" s="353"/>
      <c r="AA44" s="353"/>
      <c r="AB44" s="353"/>
      <c r="AC44" s="353"/>
    </row>
    <row r="45" spans="1:29" ht="15" customHeight="1">
      <c r="A45" s="3877" t="s">
        <v>136</v>
      </c>
      <c r="B45" s="1084"/>
      <c r="C45" s="729" t="s">
        <v>90</v>
      </c>
      <c r="D45" s="1714"/>
      <c r="E45" s="1701" t="str">
        <f>A45</f>
        <v>9</v>
      </c>
      <c r="F45" s="732" t="s">
        <v>137</v>
      </c>
      <c r="G45" s="474" t="str">
        <f>"Территория "&amp;E45</f>
        <v>Территория 9</v>
      </c>
      <c r="H45" s="720"/>
      <c r="I45" s="720"/>
      <c r="J45" s="717"/>
      <c r="N45" s="161"/>
      <c r="T45" s="1715"/>
      <c r="U45" s="1715"/>
      <c r="V45" s="1715"/>
      <c r="W45" s="1715"/>
      <c r="X45" s="1715"/>
      <c r="Y45" s="1715"/>
      <c r="Z45" s="1715"/>
      <c r="AA45" s="1715"/>
      <c r="AB45" s="1715"/>
      <c r="AC45" s="1715"/>
    </row>
    <row r="46" spans="1:29" ht="15" customHeight="1">
      <c r="A46" s="3877"/>
      <c r="B46" s="1084">
        <v>1</v>
      </c>
      <c r="C46" s="1084"/>
      <c r="D46" s="728"/>
      <c r="E46" s="1709" t="str">
        <f>A45&amp;"."&amp;B46</f>
        <v>9.1</v>
      </c>
      <c r="F46" s="731" t="s">
        <v>138</v>
      </c>
      <c r="G46" s="721" t="s">
        <v>139</v>
      </c>
      <c r="H46" s="721" t="s">
        <v>139</v>
      </c>
      <c r="I46" s="719" t="s">
        <v>140</v>
      </c>
      <c r="K46" s="1560"/>
      <c r="L46" s="1560"/>
      <c r="M46" s="1548" t="str">
        <f t="array" ref="M46">IF(ISERROR(MATCH(MID(N46,1,250),MID(note_ter,1,250),0)),"n","y")</f>
        <v>n</v>
      </c>
      <c r="N46" s="1560"/>
      <c r="O46" s="1548" t="str">
        <f>H46&amp;"("&amp;I46&amp;")"</f>
        <v>Ярцевский муниципальный округ(66558000)</v>
      </c>
      <c r="P46" s="1084"/>
      <c r="Q46" s="1084"/>
      <c r="R46" s="354"/>
      <c r="S46" s="1084"/>
      <c r="T46" s="1084"/>
      <c r="U46" s="1084"/>
      <c r="V46" s="356"/>
      <c r="W46" s="356"/>
      <c r="X46" s="353"/>
      <c r="Y46" s="353"/>
      <c r="Z46" s="353"/>
      <c r="AA46" s="353"/>
      <c r="AB46" s="353"/>
      <c r="AC46" s="353"/>
    </row>
    <row r="47" spans="1:29" ht="15" customHeight="1">
      <c r="A47" s="3877"/>
      <c r="B47" s="1084"/>
      <c r="C47" s="346"/>
      <c r="D47" s="729"/>
      <c r="E47" s="355"/>
      <c r="F47" s="112"/>
      <c r="G47" s="349" t="s">
        <v>88</v>
      </c>
      <c r="H47" s="122"/>
      <c r="I47" s="358"/>
      <c r="J47" s="1560"/>
      <c r="K47" s="1560"/>
      <c r="L47" s="1560"/>
      <c r="M47" s="1560"/>
      <c r="O47" s="1560"/>
      <c r="P47" s="1084"/>
      <c r="Q47" s="1084"/>
      <c r="R47" s="354"/>
      <c r="S47" s="1084"/>
      <c r="T47" s="1084"/>
      <c r="U47" s="1084"/>
      <c r="V47" s="356"/>
      <c r="W47" s="356"/>
      <c r="X47" s="353"/>
      <c r="Y47" s="353"/>
      <c r="Z47" s="353"/>
      <c r="AA47" s="353"/>
      <c r="AB47" s="353"/>
      <c r="AC47" s="353"/>
    </row>
    <row r="48" spans="1:29" ht="15" customHeight="1">
      <c r="A48" s="3877" t="s">
        <v>141</v>
      </c>
      <c r="B48" s="1084"/>
      <c r="C48" s="729" t="s">
        <v>90</v>
      </c>
      <c r="D48" s="1714"/>
      <c r="E48" s="1701" t="str">
        <f>A48</f>
        <v>10</v>
      </c>
      <c r="F48" s="732" t="s">
        <v>142</v>
      </c>
      <c r="G48" s="474" t="str">
        <f>"Территория "&amp;E48</f>
        <v>Территория 10</v>
      </c>
      <c r="H48" s="720"/>
      <c r="I48" s="720"/>
      <c r="J48" s="717"/>
      <c r="N48" s="161"/>
      <c r="T48" s="1715"/>
      <c r="U48" s="1715"/>
      <c r="V48" s="1715"/>
      <c r="W48" s="1715"/>
      <c r="X48" s="1715"/>
      <c r="Y48" s="1715"/>
      <c r="Z48" s="1715"/>
      <c r="AA48" s="1715"/>
      <c r="AB48" s="1715"/>
      <c r="AC48" s="1715"/>
    </row>
    <row r="49" spans="1:29" ht="15" customHeight="1">
      <c r="A49" s="3877"/>
      <c r="B49" s="1084">
        <v>1</v>
      </c>
      <c r="C49" s="1084"/>
      <c r="D49" s="728"/>
      <c r="E49" s="1709" t="str">
        <f>A48&amp;"."&amp;B49</f>
        <v>10.1</v>
      </c>
      <c r="F49" s="731" t="s">
        <v>143</v>
      </c>
      <c r="G49" s="721" t="s">
        <v>144</v>
      </c>
      <c r="H49" s="721" t="s">
        <v>144</v>
      </c>
      <c r="I49" s="719" t="s">
        <v>145</v>
      </c>
      <c r="K49" s="1560"/>
      <c r="L49" s="1560"/>
      <c r="M49" s="1548" t="str">
        <f t="array" ref="M49">IF(ISERROR(MATCH(MID(N49,1,250),MID(note_ter,1,250),0)),"n","y")</f>
        <v>n</v>
      </c>
      <c r="N49" s="1560"/>
      <c r="O49" s="1548" t="str">
        <f>H49&amp;"("&amp;I49&amp;")"</f>
        <v>Краснинский муниципальный округ(66524000)</v>
      </c>
      <c r="P49" s="1084"/>
      <c r="Q49" s="1084"/>
      <c r="R49" s="354"/>
      <c r="S49" s="1084"/>
      <c r="T49" s="1084"/>
      <c r="U49" s="1084"/>
      <c r="V49" s="356"/>
      <c r="W49" s="356"/>
      <c r="X49" s="353"/>
      <c r="Y49" s="353"/>
      <c r="Z49" s="353"/>
      <c r="AA49" s="353"/>
      <c r="AB49" s="353"/>
      <c r="AC49" s="353"/>
    </row>
    <row r="50" spans="1:29" ht="15" customHeight="1">
      <c r="A50" s="3877"/>
      <c r="B50" s="1084"/>
      <c r="C50" s="346"/>
      <c r="D50" s="729"/>
      <c r="E50" s="355"/>
      <c r="F50" s="112"/>
      <c r="G50" s="349" t="s">
        <v>88</v>
      </c>
      <c r="H50" s="122"/>
      <c r="I50" s="358"/>
      <c r="J50" s="1560"/>
      <c r="K50" s="1560"/>
      <c r="L50" s="1560"/>
      <c r="M50" s="1560"/>
      <c r="O50" s="1560"/>
      <c r="P50" s="1084"/>
      <c r="Q50" s="1084"/>
      <c r="R50" s="354"/>
      <c r="S50" s="1084"/>
      <c r="T50" s="1084"/>
      <c r="U50" s="1084"/>
      <c r="V50" s="356"/>
      <c r="W50" s="356"/>
      <c r="X50" s="353"/>
      <c r="Y50" s="353"/>
      <c r="Z50" s="353"/>
      <c r="AA50" s="353"/>
      <c r="AB50" s="353"/>
      <c r="AC50" s="353"/>
    </row>
    <row r="51" spans="1:29" ht="15" customHeight="1">
      <c r="A51" s="3877" t="s">
        <v>146</v>
      </c>
      <c r="B51" s="1084"/>
      <c r="C51" s="729" t="s">
        <v>90</v>
      </c>
      <c r="D51" s="1714"/>
      <c r="E51" s="1701" t="str">
        <f>A51</f>
        <v>11</v>
      </c>
      <c r="F51" s="732" t="s">
        <v>147</v>
      </c>
      <c r="G51" s="474" t="str">
        <f>"Территория "&amp;E51</f>
        <v>Территория 11</v>
      </c>
      <c r="H51" s="720"/>
      <c r="I51" s="720"/>
      <c r="J51" s="717"/>
      <c r="N51" s="161"/>
      <c r="T51" s="1715"/>
      <c r="U51" s="1715"/>
      <c r="V51" s="1715"/>
      <c r="W51" s="1715"/>
      <c r="X51" s="1715"/>
      <c r="Y51" s="1715"/>
      <c r="Z51" s="1715"/>
      <c r="AA51" s="1715"/>
      <c r="AB51" s="1715"/>
      <c r="AC51" s="1715"/>
    </row>
    <row r="52" spans="1:29" ht="15" customHeight="1">
      <c r="A52" s="3877"/>
      <c r="B52" s="1084">
        <v>1</v>
      </c>
      <c r="C52" s="1084"/>
      <c r="D52" s="728"/>
      <c r="E52" s="1709" t="str">
        <f>A51&amp;"."&amp;B52</f>
        <v>11.1</v>
      </c>
      <c r="F52" s="731" t="s">
        <v>148</v>
      </c>
      <c r="G52" s="721" t="s">
        <v>149</v>
      </c>
      <c r="H52" s="721" t="s">
        <v>149</v>
      </c>
      <c r="I52" s="719" t="s">
        <v>150</v>
      </c>
      <c r="K52" s="1560"/>
      <c r="L52" s="1560"/>
      <c r="M52" s="1548" t="str">
        <f t="array" ref="M52">IF(ISERROR(MATCH(MID(N52,1,250),MID(note_ter,1,250),0)),"n","y")</f>
        <v>n</v>
      </c>
      <c r="N52" s="1560"/>
      <c r="O52" s="1548" t="str">
        <f>H52&amp;"("&amp;I52&amp;")"</f>
        <v>Смоленский муниципальный округ(66544000)</v>
      </c>
      <c r="P52" s="1084"/>
      <c r="Q52" s="1084"/>
      <c r="R52" s="354"/>
      <c r="S52" s="1084"/>
      <c r="T52" s="1084"/>
      <c r="U52" s="1084"/>
      <c r="V52" s="356"/>
      <c r="W52" s="356"/>
      <c r="X52" s="353"/>
      <c r="Y52" s="353"/>
      <c r="Z52" s="353"/>
      <c r="AA52" s="353"/>
      <c r="AB52" s="353"/>
      <c r="AC52" s="353"/>
    </row>
    <row r="53" spans="1:29" ht="15" customHeight="1">
      <c r="A53" s="3877"/>
      <c r="B53" s="1084"/>
      <c r="C53" s="346"/>
      <c r="D53" s="729"/>
      <c r="E53" s="355"/>
      <c r="F53" s="112"/>
      <c r="G53" s="349" t="s">
        <v>88</v>
      </c>
      <c r="H53" s="122"/>
      <c r="I53" s="358"/>
      <c r="J53" s="1560"/>
      <c r="K53" s="1560"/>
      <c r="L53" s="1560"/>
      <c r="M53" s="1560"/>
      <c r="O53" s="1560"/>
      <c r="P53" s="1084"/>
      <c r="Q53" s="1084"/>
      <c r="R53" s="354"/>
      <c r="S53" s="1084"/>
      <c r="T53" s="1084"/>
      <c r="U53" s="1084"/>
      <c r="V53" s="356"/>
      <c r="W53" s="356"/>
      <c r="X53" s="353"/>
      <c r="Y53" s="353"/>
      <c r="Z53" s="353"/>
      <c r="AA53" s="353"/>
      <c r="AB53" s="353"/>
      <c r="AC53" s="353"/>
    </row>
    <row r="54" spans="1:29" ht="15" customHeight="1">
      <c r="A54" s="3877" t="s">
        <v>151</v>
      </c>
      <c r="B54" s="1084"/>
      <c r="C54" s="729" t="s">
        <v>90</v>
      </c>
      <c r="D54" s="1714"/>
      <c r="E54" s="1701" t="str">
        <f>A54</f>
        <v>12</v>
      </c>
      <c r="F54" s="732" t="s">
        <v>152</v>
      </c>
      <c r="G54" s="474" t="str">
        <f>"Территория "&amp;E54</f>
        <v>Территория 12</v>
      </c>
      <c r="H54" s="720"/>
      <c r="I54" s="720"/>
      <c r="J54" s="717"/>
      <c r="N54" s="161"/>
      <c r="T54" s="1715"/>
      <c r="U54" s="1715"/>
      <c r="V54" s="1715"/>
      <c r="W54" s="1715"/>
      <c r="X54" s="1715"/>
      <c r="Y54" s="1715"/>
      <c r="Z54" s="1715"/>
      <c r="AA54" s="1715"/>
      <c r="AB54" s="1715"/>
      <c r="AC54" s="1715"/>
    </row>
    <row r="55" spans="1:29" ht="15" customHeight="1">
      <c r="A55" s="3877"/>
      <c r="B55" s="1084">
        <v>1</v>
      </c>
      <c r="C55" s="1084"/>
      <c r="D55" s="728"/>
      <c r="E55" s="1709" t="str">
        <f>A54&amp;"."&amp;B55</f>
        <v>12.1</v>
      </c>
      <c r="F55" s="731" t="s">
        <v>80</v>
      </c>
      <c r="G55" s="721" t="s">
        <v>86</v>
      </c>
      <c r="H55" s="721" t="s">
        <v>86</v>
      </c>
      <c r="I55" s="719" t="s">
        <v>87</v>
      </c>
      <c r="K55" s="1560"/>
      <c r="L55" s="1560"/>
      <c r="M55" s="1548" t="str">
        <f t="array" ref="M55">IF(ISERROR(MATCH(MID(N55,1,250),MID(note_ter,1,250),0)),"n","y")</f>
        <v>n</v>
      </c>
      <c r="N55" s="1560"/>
      <c r="O55" s="1548" t="str">
        <f>H55&amp;"("&amp;I55&amp;")"</f>
        <v>Вяземский муниципальный округ(66505000)</v>
      </c>
      <c r="P55" s="1084"/>
      <c r="Q55" s="1084"/>
      <c r="R55" s="354"/>
      <c r="S55" s="1084"/>
      <c r="T55" s="1084"/>
      <c r="U55" s="1084"/>
      <c r="V55" s="356"/>
      <c r="W55" s="356"/>
      <c r="X55" s="353"/>
      <c r="Y55" s="353"/>
      <c r="Z55" s="353"/>
      <c r="AA55" s="353"/>
      <c r="AB55" s="353"/>
      <c r="AC55" s="353"/>
    </row>
    <row r="56" spans="1:29" ht="15" customHeight="1">
      <c r="A56" s="3877"/>
      <c r="B56" s="1084"/>
      <c r="C56" s="346"/>
      <c r="D56" s="729"/>
      <c r="E56" s="355"/>
      <c r="F56" s="112"/>
      <c r="G56" s="349" t="s">
        <v>88</v>
      </c>
      <c r="H56" s="122"/>
      <c r="I56" s="358"/>
      <c r="J56" s="1560"/>
      <c r="K56" s="1560"/>
      <c r="L56" s="1560"/>
      <c r="M56" s="1560"/>
      <c r="O56" s="1560"/>
      <c r="P56" s="1084"/>
      <c r="Q56" s="1084"/>
      <c r="R56" s="354"/>
      <c r="S56" s="1084"/>
      <c r="T56" s="1084"/>
      <c r="U56" s="1084"/>
      <c r="V56" s="356"/>
      <c r="W56" s="356"/>
      <c r="X56" s="353"/>
      <c r="Y56" s="353"/>
      <c r="Z56" s="353"/>
      <c r="AA56" s="353"/>
      <c r="AB56" s="353"/>
      <c r="AC56" s="353"/>
    </row>
    <row r="57" spans="1:29" ht="15" customHeight="1">
      <c r="A57" s="3877" t="s">
        <v>153</v>
      </c>
      <c r="B57" s="1084"/>
      <c r="C57" s="729" t="s">
        <v>90</v>
      </c>
      <c r="D57" s="1714"/>
      <c r="E57" s="1701" t="str">
        <f>A57</f>
        <v>13</v>
      </c>
      <c r="F57" s="732" t="s">
        <v>154</v>
      </c>
      <c r="G57" s="474" t="str">
        <f>"Территория "&amp;E57</f>
        <v>Территория 13</v>
      </c>
      <c r="H57" s="720"/>
      <c r="I57" s="720"/>
      <c r="J57" s="717"/>
      <c r="N57" s="161"/>
      <c r="T57" s="1715"/>
      <c r="U57" s="1715"/>
      <c r="V57" s="1715"/>
      <c r="W57" s="1715"/>
      <c r="X57" s="1715"/>
      <c r="Y57" s="1715"/>
      <c r="Z57" s="1715"/>
      <c r="AA57" s="1715"/>
      <c r="AB57" s="1715"/>
      <c r="AC57" s="1715"/>
    </row>
    <row r="58" spans="1:29" ht="15" customHeight="1">
      <c r="A58" s="3877"/>
      <c r="B58" s="1084">
        <v>1</v>
      </c>
      <c r="C58" s="1084"/>
      <c r="D58" s="728"/>
      <c r="E58" s="1709" t="str">
        <f>A57&amp;"."&amp;B58</f>
        <v>13.1</v>
      </c>
      <c r="F58" s="731" t="s">
        <v>92</v>
      </c>
      <c r="G58" s="721" t="s">
        <v>93</v>
      </c>
      <c r="H58" s="721" t="s">
        <v>93</v>
      </c>
      <c r="I58" s="719" t="s">
        <v>94</v>
      </c>
      <c r="K58" s="1560"/>
      <c r="L58" s="1560"/>
      <c r="M58" s="1548" t="str">
        <f t="array" ref="M58">IF(ISERROR(MATCH(MID(N58,1,250),MID(note_ter,1,250),0)),"n","y")</f>
        <v>n</v>
      </c>
      <c r="N58" s="1560"/>
      <c r="O58" s="1548" t="str">
        <f>H58&amp;"("&amp;I58&amp;")"</f>
        <v>Гагаринский муниципальный округ(66508000)</v>
      </c>
      <c r="P58" s="1084"/>
      <c r="Q58" s="1084"/>
      <c r="R58" s="354"/>
      <c r="S58" s="1084"/>
      <c r="T58" s="1084"/>
      <c r="U58" s="1084"/>
      <c r="V58" s="356"/>
      <c r="W58" s="356"/>
      <c r="X58" s="353"/>
      <c r="Y58" s="353"/>
      <c r="Z58" s="353"/>
      <c r="AA58" s="353"/>
      <c r="AB58" s="353"/>
      <c r="AC58" s="353"/>
    </row>
    <row r="59" spans="1:29" ht="15" customHeight="1">
      <c r="A59" s="3877"/>
      <c r="B59" s="1084"/>
      <c r="C59" s="346"/>
      <c r="D59" s="729"/>
      <c r="E59" s="355"/>
      <c r="F59" s="112"/>
      <c r="G59" s="349" t="s">
        <v>88</v>
      </c>
      <c r="H59" s="122"/>
      <c r="I59" s="358"/>
      <c r="J59" s="1560"/>
      <c r="K59" s="1560"/>
      <c r="L59" s="1560"/>
      <c r="M59" s="1560"/>
      <c r="O59" s="1560"/>
      <c r="P59" s="1084"/>
      <c r="Q59" s="1084"/>
      <c r="R59" s="354"/>
      <c r="S59" s="1084"/>
      <c r="T59" s="1084"/>
      <c r="U59" s="1084"/>
      <c r="V59" s="356"/>
      <c r="W59" s="356"/>
      <c r="X59" s="353"/>
      <c r="Y59" s="353"/>
      <c r="Z59" s="353"/>
      <c r="AA59" s="353"/>
      <c r="AB59" s="353"/>
      <c r="AC59" s="353"/>
    </row>
    <row r="60" spans="1:29" ht="15" customHeight="1">
      <c r="A60" s="3877" t="s">
        <v>155</v>
      </c>
      <c r="B60" s="1084"/>
      <c r="C60" s="729" t="s">
        <v>90</v>
      </c>
      <c r="D60" s="1714"/>
      <c r="E60" s="1701" t="str">
        <f>A60</f>
        <v>14</v>
      </c>
      <c r="F60" s="732" t="s">
        <v>156</v>
      </c>
      <c r="G60" s="474" t="str">
        <f>"Территория "&amp;E60</f>
        <v>Территория 14</v>
      </c>
      <c r="H60" s="720"/>
      <c r="I60" s="720"/>
      <c r="J60" s="717"/>
      <c r="N60" s="161"/>
      <c r="T60" s="1715"/>
      <c r="U60" s="1715"/>
      <c r="V60" s="1715"/>
      <c r="W60" s="1715"/>
      <c r="X60" s="1715"/>
      <c r="Y60" s="1715"/>
      <c r="Z60" s="1715"/>
      <c r="AA60" s="1715"/>
      <c r="AB60" s="1715"/>
      <c r="AC60" s="1715"/>
    </row>
    <row r="61" spans="1:29" ht="15" customHeight="1">
      <c r="A61" s="3877"/>
      <c r="B61" s="1084">
        <v>1</v>
      </c>
      <c r="C61" s="1084"/>
      <c r="D61" s="728"/>
      <c r="E61" s="1709" t="str">
        <f>A60&amp;"."&amp;B61</f>
        <v>14.1</v>
      </c>
      <c r="F61" s="731" t="s">
        <v>95</v>
      </c>
      <c r="G61" s="721" t="s">
        <v>96</v>
      </c>
      <c r="H61" s="721" t="s">
        <v>96</v>
      </c>
      <c r="I61" s="719" t="s">
        <v>97</v>
      </c>
      <c r="K61" s="1560"/>
      <c r="L61" s="1560"/>
      <c r="M61" s="1548" t="str">
        <f t="array" ref="M61">IF(ISERROR(MATCH(MID(N61,1,250),MID(note_ter,1,250),0)),"n","y")</f>
        <v>n</v>
      </c>
      <c r="N61" s="1560"/>
      <c r="O61" s="1548" t="str">
        <f>H61&amp;"("&amp;I61&amp;")"</f>
        <v>Новодугинский муниципальный округ(66530000)</v>
      </c>
      <c r="P61" s="1084"/>
      <c r="Q61" s="1084"/>
      <c r="R61" s="354"/>
      <c r="S61" s="1084"/>
      <c r="T61" s="1084"/>
      <c r="U61" s="1084"/>
      <c r="V61" s="356"/>
      <c r="W61" s="356"/>
      <c r="X61" s="353"/>
      <c r="Y61" s="353"/>
      <c r="Z61" s="353"/>
      <c r="AA61" s="353"/>
      <c r="AB61" s="353"/>
      <c r="AC61" s="353"/>
    </row>
    <row r="62" spans="1:29" ht="15" customHeight="1">
      <c r="A62" s="3877"/>
      <c r="B62" s="1084"/>
      <c r="C62" s="346"/>
      <c r="D62" s="729"/>
      <c r="E62" s="355"/>
      <c r="F62" s="112"/>
      <c r="G62" s="349" t="s">
        <v>88</v>
      </c>
      <c r="H62" s="122"/>
      <c r="I62" s="358"/>
      <c r="J62" s="1560"/>
      <c r="K62" s="1560"/>
      <c r="L62" s="1560"/>
      <c r="M62" s="1560"/>
      <c r="O62" s="1560"/>
      <c r="P62" s="1084"/>
      <c r="Q62" s="1084"/>
      <c r="R62" s="354"/>
      <c r="S62" s="1084"/>
      <c r="T62" s="1084"/>
      <c r="U62" s="1084"/>
      <c r="V62" s="356"/>
      <c r="W62" s="356"/>
      <c r="X62" s="353"/>
      <c r="Y62" s="353"/>
      <c r="Z62" s="353"/>
      <c r="AA62" s="353"/>
      <c r="AB62" s="353"/>
      <c r="AC62" s="353"/>
    </row>
    <row r="63" spans="1:29" ht="15" customHeight="1">
      <c r="A63" s="3877" t="s">
        <v>157</v>
      </c>
      <c r="B63" s="1084"/>
      <c r="C63" s="729" t="s">
        <v>90</v>
      </c>
      <c r="D63" s="1714"/>
      <c r="E63" s="1701" t="str">
        <f>A63</f>
        <v>15</v>
      </c>
      <c r="F63" s="732" t="s">
        <v>158</v>
      </c>
      <c r="G63" s="474" t="str">
        <f>"Территория "&amp;E63</f>
        <v>Территория 15</v>
      </c>
      <c r="H63" s="720"/>
      <c r="I63" s="720"/>
      <c r="J63" s="717"/>
      <c r="N63" s="161"/>
      <c r="T63" s="1715"/>
      <c r="U63" s="1715"/>
      <c r="V63" s="1715"/>
      <c r="W63" s="1715"/>
      <c r="X63" s="1715"/>
      <c r="Y63" s="1715"/>
      <c r="Z63" s="1715"/>
      <c r="AA63" s="1715"/>
      <c r="AB63" s="1715"/>
      <c r="AC63" s="1715"/>
    </row>
    <row r="64" spans="1:29" ht="15" customHeight="1">
      <c r="A64" s="3877"/>
      <c r="B64" s="1084">
        <v>1</v>
      </c>
      <c r="C64" s="1084"/>
      <c r="D64" s="728"/>
      <c r="E64" s="1709" t="str">
        <f>A63&amp;"."&amp;B64</f>
        <v>15.1</v>
      </c>
      <c r="F64" s="731" t="s">
        <v>98</v>
      </c>
      <c r="G64" s="721" t="s">
        <v>99</v>
      </c>
      <c r="H64" s="721" t="s">
        <v>99</v>
      </c>
      <c r="I64" s="719" t="s">
        <v>100</v>
      </c>
      <c r="K64" s="1560"/>
      <c r="L64" s="1560"/>
      <c r="M64" s="1548" t="str">
        <f t="array" ref="M64">IF(ISERROR(MATCH(MID(N64,1,250),MID(note_ter,1,250),0)),"n","y")</f>
        <v>n</v>
      </c>
      <c r="N64" s="1560"/>
      <c r="O64" s="1548" t="str">
        <f>H64&amp;"("&amp;I64&amp;")"</f>
        <v>Сычевский муниципальный округ(66546000)</v>
      </c>
      <c r="P64" s="1084"/>
      <c r="Q64" s="1084"/>
      <c r="R64" s="354"/>
      <c r="S64" s="1084"/>
      <c r="T64" s="1084"/>
      <c r="U64" s="1084"/>
      <c r="V64" s="356"/>
      <c r="W64" s="356"/>
      <c r="X64" s="353"/>
      <c r="Y64" s="353"/>
      <c r="Z64" s="353"/>
      <c r="AA64" s="353"/>
      <c r="AB64" s="353"/>
      <c r="AC64" s="353"/>
    </row>
    <row r="65" spans="1:29" ht="15" customHeight="1">
      <c r="A65" s="3877"/>
      <c r="B65" s="1084"/>
      <c r="C65" s="346"/>
      <c r="D65" s="729"/>
      <c r="E65" s="355"/>
      <c r="F65" s="112"/>
      <c r="G65" s="349" t="s">
        <v>88</v>
      </c>
      <c r="H65" s="122"/>
      <c r="I65" s="358"/>
      <c r="J65" s="1560"/>
      <c r="K65" s="1560"/>
      <c r="L65" s="1560"/>
      <c r="M65" s="1560"/>
      <c r="O65" s="1560"/>
      <c r="P65" s="1084"/>
      <c r="Q65" s="1084"/>
      <c r="R65" s="354"/>
      <c r="S65" s="1084"/>
      <c r="T65" s="1084"/>
      <c r="U65" s="1084"/>
      <c r="V65" s="356"/>
      <c r="W65" s="356"/>
      <c r="X65" s="353"/>
      <c r="Y65" s="353"/>
      <c r="Z65" s="353"/>
      <c r="AA65" s="353"/>
      <c r="AB65" s="353"/>
      <c r="AC65" s="353"/>
    </row>
    <row r="66" spans="1:29" ht="15" customHeight="1">
      <c r="A66" s="3877" t="s">
        <v>159</v>
      </c>
      <c r="B66" s="1084"/>
      <c r="C66" s="729" t="s">
        <v>90</v>
      </c>
      <c r="D66" s="1714"/>
      <c r="E66" s="1701" t="str">
        <f>A66</f>
        <v>16</v>
      </c>
      <c r="F66" s="732" t="s">
        <v>160</v>
      </c>
      <c r="G66" s="474" t="str">
        <f>"Территория "&amp;E66</f>
        <v>Территория 16</v>
      </c>
      <c r="H66" s="720"/>
      <c r="I66" s="720"/>
      <c r="J66" s="717"/>
      <c r="N66" s="161"/>
      <c r="T66" s="1715"/>
      <c r="U66" s="1715"/>
      <c r="V66" s="1715"/>
      <c r="W66" s="1715"/>
      <c r="X66" s="1715"/>
      <c r="Y66" s="1715"/>
      <c r="Z66" s="1715"/>
      <c r="AA66" s="1715"/>
      <c r="AB66" s="1715"/>
      <c r="AC66" s="1715"/>
    </row>
    <row r="67" spans="1:29" ht="15" customHeight="1">
      <c r="A67" s="3877"/>
      <c r="B67" s="1084">
        <v>1</v>
      </c>
      <c r="C67" s="1084"/>
      <c r="D67" s="728"/>
      <c r="E67" s="1709" t="str">
        <f>A66&amp;"."&amp;B67</f>
        <v>16.1</v>
      </c>
      <c r="F67" s="731" t="s">
        <v>102</v>
      </c>
      <c r="G67" s="721" t="s">
        <v>103</v>
      </c>
      <c r="H67" s="721" t="s">
        <v>103</v>
      </c>
      <c r="I67" s="719" t="s">
        <v>104</v>
      </c>
      <c r="K67" s="1560"/>
      <c r="L67" s="1560"/>
      <c r="M67" s="1548" t="str">
        <f t="array" ref="M67">IF(ISERROR(MATCH(MID(N67,1,250),MID(note_ter,1,250),0)),"n","y")</f>
        <v>n</v>
      </c>
      <c r="N67" s="1560"/>
      <c r="O67" s="1548" t="str">
        <f>H67&amp;"("&amp;I67&amp;")"</f>
        <v>Рославльский муниципальный округ(66536000)</v>
      </c>
      <c r="P67" s="1084"/>
      <c r="Q67" s="1084"/>
      <c r="R67" s="354"/>
      <c r="S67" s="1084"/>
      <c r="T67" s="1084"/>
      <c r="U67" s="1084"/>
      <c r="V67" s="356"/>
      <c r="W67" s="356"/>
      <c r="X67" s="353"/>
      <c r="Y67" s="353"/>
      <c r="Z67" s="353"/>
      <c r="AA67" s="353"/>
      <c r="AB67" s="353"/>
      <c r="AC67" s="353"/>
    </row>
    <row r="68" spans="1:29" ht="15" customHeight="1">
      <c r="A68" s="3877"/>
      <c r="B68" s="1084"/>
      <c r="C68" s="346"/>
      <c r="D68" s="729"/>
      <c r="E68" s="355"/>
      <c r="F68" s="112"/>
      <c r="G68" s="349" t="s">
        <v>88</v>
      </c>
      <c r="H68" s="122"/>
      <c r="I68" s="358"/>
      <c r="J68" s="1560"/>
      <c r="K68" s="1560"/>
      <c r="L68" s="1560"/>
      <c r="M68" s="1560"/>
      <c r="O68" s="1560"/>
      <c r="P68" s="1084"/>
      <c r="Q68" s="1084"/>
      <c r="R68" s="354"/>
      <c r="S68" s="1084"/>
      <c r="T68" s="1084"/>
      <c r="U68" s="1084"/>
      <c r="V68" s="356"/>
      <c r="W68" s="356"/>
      <c r="X68" s="353"/>
      <c r="Y68" s="353"/>
      <c r="Z68" s="353"/>
      <c r="AA68" s="353"/>
      <c r="AB68" s="353"/>
      <c r="AC68" s="353"/>
    </row>
    <row r="69" spans="1:29" ht="15" customHeight="1">
      <c r="A69" s="3877" t="s">
        <v>92</v>
      </c>
      <c r="B69" s="1084"/>
      <c r="C69" s="729" t="s">
        <v>90</v>
      </c>
      <c r="D69" s="1714"/>
      <c r="E69" s="1701" t="str">
        <f>A69</f>
        <v>17</v>
      </c>
      <c r="F69" s="732" t="s">
        <v>161</v>
      </c>
      <c r="G69" s="474" t="str">
        <f>"Территория "&amp;E69</f>
        <v>Территория 17</v>
      </c>
      <c r="H69" s="720"/>
      <c r="I69" s="720"/>
      <c r="J69" s="717"/>
      <c r="N69" s="161"/>
      <c r="T69" s="1715"/>
      <c r="U69" s="1715"/>
      <c r="V69" s="1715"/>
      <c r="W69" s="1715"/>
      <c r="X69" s="1715"/>
      <c r="Y69" s="1715"/>
      <c r="Z69" s="1715"/>
      <c r="AA69" s="1715"/>
      <c r="AB69" s="1715"/>
      <c r="AC69" s="1715"/>
    </row>
    <row r="70" spans="1:29" ht="15" customHeight="1">
      <c r="A70" s="3877"/>
      <c r="B70" s="1084">
        <v>1</v>
      </c>
      <c r="C70" s="1084"/>
      <c r="D70" s="728"/>
      <c r="E70" s="1709" t="str">
        <f>A69&amp;"."&amp;B70</f>
        <v>17.1</v>
      </c>
      <c r="F70" s="731" t="s">
        <v>105</v>
      </c>
      <c r="G70" s="721" t="s">
        <v>106</v>
      </c>
      <c r="H70" s="721" t="s">
        <v>106</v>
      </c>
      <c r="I70" s="719" t="s">
        <v>107</v>
      </c>
      <c r="K70" s="1560"/>
      <c r="L70" s="1560"/>
      <c r="M70" s="1548" t="str">
        <f t="array" ref="M70">IF(ISERROR(MATCH(MID(N70,1,250),MID(note_ter,1,250),0)),"n","y")</f>
        <v>n</v>
      </c>
      <c r="N70" s="1560"/>
      <c r="O70" s="1548" t="str">
        <f>H70&amp;"("&amp;I70&amp;")"</f>
        <v>Починковский муниципальный округ(66533000)</v>
      </c>
      <c r="P70" s="1084"/>
      <c r="Q70" s="1084"/>
      <c r="R70" s="354"/>
      <c r="S70" s="1084"/>
      <c r="T70" s="1084"/>
      <c r="U70" s="1084"/>
      <c r="V70" s="356"/>
      <c r="W70" s="356"/>
      <c r="X70" s="353"/>
      <c r="Y70" s="353"/>
      <c r="Z70" s="353"/>
      <c r="AA70" s="353"/>
      <c r="AB70" s="353"/>
      <c r="AC70" s="353"/>
    </row>
    <row r="71" spans="1:29" ht="15" customHeight="1">
      <c r="A71" s="3877"/>
      <c r="B71" s="1084"/>
      <c r="C71" s="346"/>
      <c r="D71" s="729"/>
      <c r="E71" s="355"/>
      <c r="F71" s="112"/>
      <c r="G71" s="349" t="s">
        <v>88</v>
      </c>
      <c r="H71" s="122"/>
      <c r="I71" s="358"/>
      <c r="J71" s="1560"/>
      <c r="K71" s="1560"/>
      <c r="L71" s="1560"/>
      <c r="M71" s="1560"/>
      <c r="O71" s="1560"/>
      <c r="P71" s="1084"/>
      <c r="Q71" s="1084"/>
      <c r="R71" s="354"/>
      <c r="S71" s="1084"/>
      <c r="T71" s="1084"/>
      <c r="U71" s="1084"/>
      <c r="V71" s="356"/>
      <c r="W71" s="356"/>
      <c r="X71" s="353"/>
      <c r="Y71" s="353"/>
      <c r="Z71" s="353"/>
      <c r="AA71" s="353"/>
      <c r="AB71" s="353"/>
      <c r="AC71" s="353"/>
    </row>
    <row r="72" spans="1:29" ht="15" customHeight="1">
      <c r="A72" s="3877" t="s">
        <v>162</v>
      </c>
      <c r="B72" s="1084"/>
      <c r="C72" s="729" t="s">
        <v>90</v>
      </c>
      <c r="D72" s="1714"/>
      <c r="E72" s="1701" t="str">
        <f>A72</f>
        <v>18</v>
      </c>
      <c r="F72" s="732" t="s">
        <v>163</v>
      </c>
      <c r="G72" s="474" t="str">
        <f>"Территория "&amp;E72</f>
        <v>Территория 18</v>
      </c>
      <c r="H72" s="720"/>
      <c r="I72" s="720"/>
      <c r="J72" s="717"/>
      <c r="N72" s="161"/>
      <c r="T72" s="1715"/>
      <c r="U72" s="1715"/>
      <c r="V72" s="1715"/>
      <c r="W72" s="1715"/>
      <c r="X72" s="1715"/>
      <c r="Y72" s="1715"/>
      <c r="Z72" s="1715"/>
      <c r="AA72" s="1715"/>
      <c r="AB72" s="1715"/>
      <c r="AC72" s="1715"/>
    </row>
    <row r="73" spans="1:29" ht="15" customHeight="1">
      <c r="A73" s="3877"/>
      <c r="B73" s="1084">
        <v>1</v>
      </c>
      <c r="C73" s="1084"/>
      <c r="D73" s="728"/>
      <c r="E73" s="1709" t="str">
        <f>A72&amp;"."&amp;B73</f>
        <v>18.1</v>
      </c>
      <c r="F73" s="731" t="s">
        <v>108</v>
      </c>
      <c r="G73" s="721" t="s">
        <v>109</v>
      </c>
      <c r="H73" s="721" t="s">
        <v>109</v>
      </c>
      <c r="I73" s="719" t="s">
        <v>110</v>
      </c>
      <c r="K73" s="1560"/>
      <c r="L73" s="1560"/>
      <c r="M73" s="1548" t="str">
        <f t="array" ref="M73">IF(ISERROR(MATCH(MID(N73,1,250),MID(note_ter,1,250),0)),"n","y")</f>
        <v>n</v>
      </c>
      <c r="N73" s="1560"/>
      <c r="O73" s="1548" t="str">
        <f>H73&amp;"("&amp;I73&amp;")"</f>
        <v>Ершичский муниципальный округ(66521000)</v>
      </c>
      <c r="P73" s="1084"/>
      <c r="Q73" s="1084"/>
      <c r="R73" s="354"/>
      <c r="S73" s="1084"/>
      <c r="T73" s="1084"/>
      <c r="U73" s="1084"/>
      <c r="V73" s="356"/>
      <c r="W73" s="356"/>
      <c r="X73" s="353"/>
      <c r="Y73" s="353"/>
      <c r="Z73" s="353"/>
      <c r="AA73" s="353"/>
      <c r="AB73" s="353"/>
      <c r="AC73" s="353"/>
    </row>
    <row r="74" spans="1:29" ht="15" customHeight="1">
      <c r="A74" s="3877"/>
      <c r="B74" s="1084"/>
      <c r="C74" s="346"/>
      <c r="D74" s="729"/>
      <c r="E74" s="355"/>
      <c r="F74" s="112"/>
      <c r="G74" s="349" t="s">
        <v>88</v>
      </c>
      <c r="H74" s="122"/>
      <c r="I74" s="358"/>
      <c r="J74" s="1560"/>
      <c r="K74" s="1560"/>
      <c r="L74" s="1560"/>
      <c r="M74" s="1560"/>
      <c r="O74" s="1560"/>
      <c r="P74" s="1084"/>
      <c r="Q74" s="1084"/>
      <c r="R74" s="354"/>
      <c r="S74" s="1084"/>
      <c r="T74" s="1084"/>
      <c r="U74" s="1084"/>
      <c r="V74" s="356"/>
      <c r="W74" s="356"/>
      <c r="X74" s="353"/>
      <c r="Y74" s="353"/>
      <c r="Z74" s="353"/>
      <c r="AA74" s="353"/>
      <c r="AB74" s="353"/>
      <c r="AC74" s="353"/>
    </row>
    <row r="75" spans="1:29" ht="15" customHeight="1">
      <c r="A75" s="3877" t="s">
        <v>164</v>
      </c>
      <c r="B75" s="1084"/>
      <c r="C75" s="729" t="s">
        <v>90</v>
      </c>
      <c r="D75" s="1714"/>
      <c r="E75" s="1701" t="str">
        <f>A75</f>
        <v>19</v>
      </c>
      <c r="F75" s="732" t="s">
        <v>165</v>
      </c>
      <c r="G75" s="474" t="str">
        <f>"Территория "&amp;E75</f>
        <v>Территория 19</v>
      </c>
      <c r="H75" s="720"/>
      <c r="I75" s="720"/>
      <c r="J75" s="717"/>
      <c r="N75" s="161"/>
      <c r="T75" s="1715"/>
      <c r="U75" s="1715"/>
      <c r="V75" s="1715"/>
      <c r="W75" s="1715"/>
      <c r="X75" s="1715"/>
      <c r="Y75" s="1715"/>
      <c r="Z75" s="1715"/>
      <c r="AA75" s="1715"/>
      <c r="AB75" s="1715"/>
      <c r="AC75" s="1715"/>
    </row>
    <row r="76" spans="1:29" ht="15" customHeight="1">
      <c r="A76" s="3877"/>
      <c r="B76" s="1084">
        <v>1</v>
      </c>
      <c r="C76" s="1084"/>
      <c r="D76" s="728"/>
      <c r="E76" s="1709" t="str">
        <f>A75&amp;"."&amp;B76</f>
        <v>19.1</v>
      </c>
      <c r="F76" s="731" t="s">
        <v>111</v>
      </c>
      <c r="G76" s="721" t="s">
        <v>112</v>
      </c>
      <c r="H76" s="721" t="s">
        <v>112</v>
      </c>
      <c r="I76" s="719" t="s">
        <v>113</v>
      </c>
      <c r="K76" s="1560"/>
      <c r="L76" s="1560"/>
      <c r="M76" s="1548" t="str">
        <f t="array" ref="M76">IF(ISERROR(MATCH(MID(N76,1,250),MID(note_ter,1,250),0)),"n","y")</f>
        <v>n</v>
      </c>
      <c r="N76" s="1560"/>
      <c r="O76" s="1548" t="str">
        <f>H76&amp;"("&amp;I76&amp;")"</f>
        <v>Шумячский муниципальный округ(66556000)</v>
      </c>
      <c r="P76" s="1084"/>
      <c r="Q76" s="1084"/>
      <c r="R76" s="354"/>
      <c r="S76" s="1084"/>
      <c r="T76" s="1084"/>
      <c r="U76" s="1084"/>
      <c r="V76" s="356"/>
      <c r="W76" s="356"/>
      <c r="X76" s="353"/>
      <c r="Y76" s="353"/>
      <c r="Z76" s="353"/>
      <c r="AA76" s="353"/>
      <c r="AB76" s="353"/>
      <c r="AC76" s="353"/>
    </row>
    <row r="77" spans="1:29" ht="15" customHeight="1">
      <c r="A77" s="3877"/>
      <c r="B77" s="1084"/>
      <c r="C77" s="346"/>
      <c r="D77" s="729"/>
      <c r="E77" s="355"/>
      <c r="F77" s="112"/>
      <c r="G77" s="349" t="s">
        <v>88</v>
      </c>
      <c r="H77" s="122"/>
      <c r="I77" s="358"/>
      <c r="J77" s="1560"/>
      <c r="K77" s="1560"/>
      <c r="L77" s="1560"/>
      <c r="M77" s="1560"/>
      <c r="O77" s="1560"/>
      <c r="P77" s="1084"/>
      <c r="Q77" s="1084"/>
      <c r="R77" s="354"/>
      <c r="S77" s="1084"/>
      <c r="T77" s="1084"/>
      <c r="U77" s="1084"/>
      <c r="V77" s="356"/>
      <c r="W77" s="356"/>
      <c r="X77" s="353"/>
      <c r="Y77" s="353"/>
      <c r="Z77" s="353"/>
      <c r="AA77" s="353"/>
      <c r="AB77" s="353"/>
      <c r="AC77" s="353"/>
    </row>
    <row r="78" spans="1:29" ht="15" customHeight="1">
      <c r="A78" s="3877" t="s">
        <v>166</v>
      </c>
      <c r="B78" s="1084"/>
      <c r="C78" s="729" t="s">
        <v>90</v>
      </c>
      <c r="D78" s="1714"/>
      <c r="E78" s="1701" t="str">
        <f>A78</f>
        <v>20</v>
      </c>
      <c r="F78" s="732" t="s">
        <v>167</v>
      </c>
      <c r="G78" s="474" t="str">
        <f>"Территория "&amp;E78</f>
        <v>Территория 20</v>
      </c>
      <c r="H78" s="720"/>
      <c r="I78" s="720"/>
      <c r="J78" s="717"/>
      <c r="N78" s="161"/>
      <c r="T78" s="1715"/>
      <c r="U78" s="1715"/>
      <c r="V78" s="1715"/>
      <c r="W78" s="1715"/>
      <c r="X78" s="1715"/>
      <c r="Y78" s="1715"/>
      <c r="Z78" s="1715"/>
      <c r="AA78" s="1715"/>
      <c r="AB78" s="1715"/>
      <c r="AC78" s="1715"/>
    </row>
    <row r="79" spans="1:29" ht="15" customHeight="1">
      <c r="A79" s="3877"/>
      <c r="B79" s="1084">
        <v>1</v>
      </c>
      <c r="C79" s="1084"/>
      <c r="D79" s="728"/>
      <c r="E79" s="1709" t="str">
        <f>A78&amp;"."&amp;B79</f>
        <v>20.1</v>
      </c>
      <c r="F79" s="731" t="s">
        <v>117</v>
      </c>
      <c r="G79" s="721" t="s">
        <v>118</v>
      </c>
      <c r="H79" s="721" t="s">
        <v>118</v>
      </c>
      <c r="I79" s="719" t="s">
        <v>119</v>
      </c>
      <c r="K79" s="1560"/>
      <c r="L79" s="1560"/>
      <c r="M79" s="1548" t="str">
        <f t="array" ref="M79">IF(ISERROR(MATCH(MID(N79,1,250),MID(note_ter,1,250),0)),"n","y")</f>
        <v>n</v>
      </c>
      <c r="N79" s="1560"/>
      <c r="O79" s="1548" t="str">
        <f>H79&amp;"("&amp;I79&amp;")"</f>
        <v>Сафоновский муниципальный округ(66541000)</v>
      </c>
      <c r="P79" s="1084"/>
      <c r="Q79" s="1084"/>
      <c r="R79" s="354"/>
      <c r="S79" s="1084"/>
      <c r="T79" s="1084"/>
      <c r="U79" s="1084"/>
      <c r="V79" s="356"/>
      <c r="W79" s="356"/>
      <c r="X79" s="353"/>
      <c r="Y79" s="353"/>
      <c r="Z79" s="353"/>
      <c r="AA79" s="353"/>
      <c r="AB79" s="353"/>
      <c r="AC79" s="353"/>
    </row>
    <row r="80" spans="1:29" ht="15" customHeight="1">
      <c r="A80" s="3877"/>
      <c r="B80" s="1084"/>
      <c r="C80" s="346"/>
      <c r="D80" s="729"/>
      <c r="E80" s="355"/>
      <c r="F80" s="112"/>
      <c r="G80" s="349" t="s">
        <v>88</v>
      </c>
      <c r="H80" s="122"/>
      <c r="I80" s="358"/>
      <c r="J80" s="1560"/>
      <c r="K80" s="1560"/>
      <c r="L80" s="1560"/>
      <c r="M80" s="1560"/>
      <c r="O80" s="1560"/>
      <c r="P80" s="1084"/>
      <c r="Q80" s="1084"/>
      <c r="R80" s="354"/>
      <c r="S80" s="1084"/>
      <c r="T80" s="1084"/>
      <c r="U80" s="1084"/>
      <c r="V80" s="356"/>
      <c r="W80" s="356"/>
      <c r="X80" s="353"/>
      <c r="Y80" s="353"/>
      <c r="Z80" s="353"/>
      <c r="AA80" s="353"/>
      <c r="AB80" s="353"/>
      <c r="AC80" s="353"/>
    </row>
    <row r="81" spans="1:29" ht="15" customHeight="1">
      <c r="A81" s="3877" t="s">
        <v>168</v>
      </c>
      <c r="B81" s="1084"/>
      <c r="C81" s="729" t="s">
        <v>90</v>
      </c>
      <c r="D81" s="1714"/>
      <c r="E81" s="1701" t="str">
        <f>A81</f>
        <v>21</v>
      </c>
      <c r="F81" s="732" t="s">
        <v>169</v>
      </c>
      <c r="G81" s="474" t="str">
        <f>"Территория "&amp;E81</f>
        <v>Территория 21</v>
      </c>
      <c r="H81" s="720"/>
      <c r="I81" s="720"/>
      <c r="J81" s="717"/>
      <c r="N81" s="161"/>
      <c r="T81" s="1715"/>
      <c r="U81" s="1715"/>
      <c r="V81" s="1715"/>
      <c r="W81" s="1715"/>
      <c r="X81" s="1715"/>
      <c r="Y81" s="1715"/>
      <c r="Z81" s="1715"/>
      <c r="AA81" s="1715"/>
      <c r="AB81" s="1715"/>
      <c r="AC81" s="1715"/>
    </row>
    <row r="82" spans="1:29" ht="15" customHeight="1">
      <c r="A82" s="3877"/>
      <c r="B82" s="1084">
        <v>1</v>
      </c>
      <c r="C82" s="1084"/>
      <c r="D82" s="728"/>
      <c r="E82" s="1709" t="str">
        <f>A81&amp;"."&amp;B82</f>
        <v>21.1</v>
      </c>
      <c r="F82" s="731" t="s">
        <v>123</v>
      </c>
      <c r="G82" s="721" t="s">
        <v>124</v>
      </c>
      <c r="H82" s="721" t="s">
        <v>124</v>
      </c>
      <c r="I82" s="719" t="s">
        <v>125</v>
      </c>
      <c r="K82" s="1560"/>
      <c r="L82" s="1560"/>
      <c r="M82" s="1548" t="str">
        <f t="array" ref="M82">IF(ISERROR(MATCH(MID(N82,1,250),MID(note_ter,1,250),0)),"n","y")</f>
        <v>n</v>
      </c>
      <c r="N82" s="1560"/>
      <c r="O82" s="1548" t="str">
        <f>H82&amp;"("&amp;I82&amp;")"</f>
        <v>Ельнинский муниципальный округ(66519000)</v>
      </c>
      <c r="P82" s="1084"/>
      <c r="Q82" s="1084"/>
      <c r="R82" s="354"/>
      <c r="S82" s="1084"/>
      <c r="T82" s="1084"/>
      <c r="U82" s="1084"/>
      <c r="V82" s="356"/>
      <c r="W82" s="356"/>
      <c r="X82" s="353"/>
      <c r="Y82" s="353"/>
      <c r="Z82" s="353"/>
      <c r="AA82" s="353"/>
      <c r="AB82" s="353"/>
      <c r="AC82" s="353"/>
    </row>
    <row r="83" spans="1:29" ht="15" customHeight="1">
      <c r="A83" s="3877"/>
      <c r="B83" s="1084"/>
      <c r="C83" s="346"/>
      <c r="D83" s="729"/>
      <c r="E83" s="355"/>
      <c r="F83" s="112"/>
      <c r="G83" s="349" t="s">
        <v>88</v>
      </c>
      <c r="H83" s="122"/>
      <c r="I83" s="358"/>
      <c r="J83" s="1560"/>
      <c r="K83" s="1560"/>
      <c r="L83" s="1560"/>
      <c r="M83" s="1560"/>
      <c r="O83" s="1560"/>
      <c r="P83" s="1084"/>
      <c r="Q83" s="1084"/>
      <c r="R83" s="354"/>
      <c r="S83" s="1084"/>
      <c r="T83" s="1084"/>
      <c r="U83" s="1084"/>
      <c r="V83" s="356"/>
      <c r="W83" s="356"/>
      <c r="X83" s="353"/>
      <c r="Y83" s="353"/>
      <c r="Z83" s="353"/>
      <c r="AA83" s="353"/>
      <c r="AB83" s="353"/>
      <c r="AC83" s="353"/>
    </row>
    <row r="84" spans="1:29" ht="15" customHeight="1">
      <c r="A84" s="3877" t="s">
        <v>170</v>
      </c>
      <c r="B84" s="1084"/>
      <c r="C84" s="729" t="s">
        <v>90</v>
      </c>
      <c r="D84" s="1714"/>
      <c r="E84" s="1701" t="str">
        <f>A84</f>
        <v>22</v>
      </c>
      <c r="F84" s="732" t="s">
        <v>171</v>
      </c>
      <c r="G84" s="474" t="str">
        <f>"Территория "&amp;E84</f>
        <v>Территория 22</v>
      </c>
      <c r="H84" s="720"/>
      <c r="I84" s="720"/>
      <c r="J84" s="717"/>
      <c r="N84" s="161"/>
      <c r="T84" s="1715"/>
      <c r="U84" s="1715"/>
      <c r="V84" s="1715"/>
      <c r="W84" s="1715"/>
      <c r="X84" s="1715"/>
      <c r="Y84" s="1715"/>
      <c r="Z84" s="1715"/>
      <c r="AA84" s="1715"/>
      <c r="AB84" s="1715"/>
      <c r="AC84" s="1715"/>
    </row>
    <row r="85" spans="1:29" ht="15" customHeight="1">
      <c r="A85" s="3877"/>
      <c r="B85" s="1084">
        <v>1</v>
      </c>
      <c r="C85" s="1084"/>
      <c r="D85" s="728"/>
      <c r="E85" s="1709" t="str">
        <f>A84&amp;"."&amp;B85</f>
        <v>22.1</v>
      </c>
      <c r="F85" s="731" t="s">
        <v>120</v>
      </c>
      <c r="G85" s="721" t="s">
        <v>121</v>
      </c>
      <c r="H85" s="721" t="s">
        <v>121</v>
      </c>
      <c r="I85" s="719" t="s">
        <v>122</v>
      </c>
      <c r="K85" s="1560"/>
      <c r="L85" s="1560"/>
      <c r="M85" s="1548" t="str">
        <f t="array" ref="M85">IF(ISERROR(MATCH(MID(N85,1,250),MID(note_ter,1,250),0)),"n","y")</f>
        <v>n</v>
      </c>
      <c r="N85" s="1560"/>
      <c r="O85" s="1548" t="str">
        <f>H85&amp;"("&amp;I85&amp;")"</f>
        <v>Духовщинский муниципальный округ(66516000)</v>
      </c>
      <c r="P85" s="1084"/>
      <c r="Q85" s="1084"/>
      <c r="R85" s="354"/>
      <c r="S85" s="1084"/>
      <c r="T85" s="1084"/>
      <c r="U85" s="1084"/>
      <c r="V85" s="356"/>
      <c r="W85" s="356"/>
      <c r="X85" s="353"/>
      <c r="Y85" s="353"/>
      <c r="Z85" s="353"/>
      <c r="AA85" s="353"/>
      <c r="AB85" s="353"/>
      <c r="AC85" s="353"/>
    </row>
    <row r="86" spans="1:29" ht="15" customHeight="1">
      <c r="A86" s="3877"/>
      <c r="B86" s="1084"/>
      <c r="C86" s="346"/>
      <c r="D86" s="729"/>
      <c r="E86" s="355"/>
      <c r="F86" s="112"/>
      <c r="G86" s="349" t="s">
        <v>88</v>
      </c>
      <c r="H86" s="122"/>
      <c r="I86" s="358"/>
      <c r="J86" s="1560"/>
      <c r="K86" s="1560"/>
      <c r="L86" s="1560"/>
      <c r="M86" s="1560"/>
      <c r="O86" s="1560"/>
      <c r="P86" s="1084"/>
      <c r="Q86" s="1084"/>
      <c r="R86" s="354"/>
      <c r="S86" s="1084"/>
      <c r="T86" s="1084"/>
      <c r="U86" s="1084"/>
      <c r="V86" s="356"/>
      <c r="W86" s="356"/>
      <c r="X86" s="353"/>
      <c r="Y86" s="353"/>
      <c r="Z86" s="353"/>
      <c r="AA86" s="353"/>
      <c r="AB86" s="353"/>
      <c r="AC86" s="353"/>
    </row>
    <row r="87" spans="1:29" ht="15" customHeight="1">
      <c r="A87" s="3877" t="s">
        <v>172</v>
      </c>
      <c r="B87" s="1084"/>
      <c r="C87" s="729" t="s">
        <v>90</v>
      </c>
      <c r="D87" s="1714"/>
      <c r="E87" s="1701" t="str">
        <f>A87</f>
        <v>23</v>
      </c>
      <c r="F87" s="732" t="s">
        <v>173</v>
      </c>
      <c r="G87" s="474" t="str">
        <f>"Территория "&amp;E87</f>
        <v>Территория 23</v>
      </c>
      <c r="H87" s="720"/>
      <c r="I87" s="720"/>
      <c r="J87" s="717"/>
      <c r="N87" s="161"/>
      <c r="T87" s="1715"/>
      <c r="U87" s="1715"/>
      <c r="V87" s="1715"/>
      <c r="W87" s="1715"/>
      <c r="X87" s="1715"/>
      <c r="Y87" s="1715"/>
      <c r="Z87" s="1715"/>
      <c r="AA87" s="1715"/>
      <c r="AB87" s="1715"/>
      <c r="AC87" s="1715"/>
    </row>
    <row r="88" spans="1:29" ht="15" customHeight="1">
      <c r="A88" s="3877"/>
      <c r="B88" s="1084">
        <v>1</v>
      </c>
      <c r="C88" s="1084"/>
      <c r="D88" s="728"/>
      <c r="E88" s="1709" t="str">
        <f>A87&amp;"."&amp;B88</f>
        <v>23.1</v>
      </c>
      <c r="F88" s="731" t="s">
        <v>174</v>
      </c>
      <c r="G88" s="721" t="s">
        <v>175</v>
      </c>
      <c r="H88" s="721" t="s">
        <v>176</v>
      </c>
      <c r="I88" s="719" t="s">
        <v>177</v>
      </c>
      <c r="K88" s="1560"/>
      <c r="L88" s="1560"/>
      <c r="M88" s="1548" t="str">
        <f t="array" ref="M88">IF(ISERROR(MATCH(MID(N88,1,250),MID(note_ter,1,250),0)),"n","y")</f>
        <v>n</v>
      </c>
      <c r="N88" s="1560"/>
      <c r="O88" s="1548" t="str">
        <f>H88&amp;"("&amp;I88&amp;")"</f>
        <v>Игоревское(66654425)</v>
      </c>
      <c r="P88" s="1084"/>
      <c r="Q88" s="1084"/>
      <c r="R88" s="354"/>
      <c r="S88" s="1084"/>
      <c r="T88" s="1084"/>
      <c r="U88" s="1084"/>
      <c r="V88" s="356"/>
      <c r="W88" s="356"/>
      <c r="X88" s="353"/>
      <c r="Y88" s="353"/>
      <c r="Z88" s="353"/>
      <c r="AA88" s="353"/>
      <c r="AB88" s="353"/>
      <c r="AC88" s="353"/>
    </row>
    <row r="89" spans="1:29" ht="15" customHeight="1">
      <c r="A89" s="3877"/>
      <c r="B89" s="1084"/>
      <c r="C89" s="346"/>
      <c r="D89" s="729"/>
      <c r="E89" s="355"/>
      <c r="F89" s="112"/>
      <c r="G89" s="349" t="s">
        <v>88</v>
      </c>
      <c r="H89" s="122"/>
      <c r="I89" s="358"/>
      <c r="J89" s="1560"/>
      <c r="K89" s="1560"/>
      <c r="L89" s="1560"/>
      <c r="M89" s="1560"/>
      <c r="O89" s="1560"/>
      <c r="P89" s="1084"/>
      <c r="Q89" s="1084"/>
      <c r="R89" s="354"/>
      <c r="S89" s="1084"/>
      <c r="T89" s="1084"/>
      <c r="U89" s="1084"/>
      <c r="V89" s="356"/>
      <c r="W89" s="356"/>
      <c r="X89" s="353"/>
      <c r="Y89" s="353"/>
      <c r="Z89" s="353"/>
      <c r="AA89" s="353"/>
      <c r="AB89" s="353"/>
      <c r="AC89" s="353"/>
    </row>
    <row r="90" spans="1:29" s="1715" customFormat="1" ht="14.65" customHeight="1">
      <c r="A90" s="690"/>
      <c r="B90" s="351"/>
      <c r="C90" s="690"/>
      <c r="D90" s="710"/>
      <c r="E90" s="722"/>
      <c r="F90" s="113"/>
      <c r="G90" s="350" t="s">
        <v>178</v>
      </c>
      <c r="H90" s="113"/>
      <c r="I90" s="114"/>
      <c r="J90" s="184"/>
      <c r="K90" s="90"/>
      <c r="L90" s="90"/>
      <c r="M90" s="90"/>
      <c r="N90" s="161" t="s">
        <v>179</v>
      </c>
      <c r="O90" s="90"/>
      <c r="P90" s="160"/>
      <c r="Q90" s="160"/>
      <c r="R90" s="160"/>
      <c r="S90" s="160"/>
      <c r="AC90" s="54">
        <v>14</v>
      </c>
    </row>
    <row r="91" spans="1:29" s="1715" customFormat="1" ht="21.95" customHeight="1">
      <c r="A91" s="690"/>
      <c r="B91" s="351"/>
      <c r="C91" s="690"/>
      <c r="D91" s="100"/>
      <c r="E91" s="115"/>
      <c r="F91" s="115"/>
      <c r="G91" s="115"/>
      <c r="H91" s="115"/>
      <c r="I91" s="115"/>
      <c r="J91" s="90"/>
      <c r="K91" s="90"/>
      <c r="L91" s="90"/>
      <c r="M91" s="90"/>
      <c r="N91" s="161"/>
      <c r="O91" s="90"/>
      <c r="P91" s="160"/>
      <c r="Q91" s="160"/>
      <c r="R91" s="160"/>
      <c r="S91" s="160"/>
      <c r="AC91" s="54">
        <v>21</v>
      </c>
    </row>
    <row r="92" spans="1:29" s="1715" customFormat="1" ht="14.65" customHeight="1">
      <c r="A92" s="690"/>
      <c r="B92" s="351"/>
      <c r="C92" s="690"/>
      <c r="D92" s="100"/>
      <c r="E92" s="22"/>
      <c r="F92" s="690"/>
      <c r="G92" s="22"/>
      <c r="H92" s="22"/>
      <c r="I92" s="22"/>
      <c r="J92" s="90"/>
      <c r="K92" s="90"/>
      <c r="L92" s="90"/>
      <c r="M92" s="90"/>
      <c r="N92" s="161"/>
      <c r="O92" s="90"/>
      <c r="P92" s="160"/>
      <c r="Q92" s="160"/>
      <c r="R92" s="160"/>
      <c r="S92" s="160"/>
      <c r="AC92" s="54">
        <v>14</v>
      </c>
    </row>
    <row r="93" spans="1:29" s="1715" customFormat="1" ht="1.1499999999999999" customHeight="1">
      <c r="A93" s="690"/>
      <c r="B93" s="351"/>
      <c r="C93" s="690"/>
      <c r="D93" s="100"/>
      <c r="E93" s="22"/>
      <c r="F93" s="690"/>
      <c r="G93" s="22"/>
      <c r="H93" s="22"/>
      <c r="I93" s="22"/>
      <c r="J93" s="90"/>
      <c r="K93" s="90"/>
      <c r="L93" s="90"/>
      <c r="M93" s="90"/>
      <c r="N93" s="161"/>
      <c r="O93" s="90"/>
      <c r="P93" s="160"/>
      <c r="Q93" s="160"/>
      <c r="R93" s="160"/>
      <c r="S93" s="160"/>
      <c r="AC93" s="54">
        <v>1</v>
      </c>
    </row>
    <row r="94" spans="1:29" s="991" customFormat="1" ht="10.5" customHeight="1">
      <c r="B94" s="762"/>
      <c r="D94" s="117"/>
      <c r="J94" s="90"/>
      <c r="K94" s="90"/>
      <c r="L94" s="90"/>
      <c r="M94" s="90"/>
      <c r="N94" s="161"/>
      <c r="O94" s="90"/>
      <c r="P94" s="160"/>
      <c r="Q94" s="160"/>
      <c r="R94" s="160"/>
      <c r="S94" s="160"/>
      <c r="AC94" s="116">
        <v>10</v>
      </c>
    </row>
    <row r="95" spans="1:29" s="991" customFormat="1" ht="10.5" customHeight="1">
      <c r="B95" s="762"/>
      <c r="D95" s="117"/>
      <c r="J95" s="90"/>
      <c r="K95" s="90"/>
      <c r="L95" s="90"/>
      <c r="M95" s="90"/>
      <c r="N95" s="161"/>
      <c r="O95" s="90"/>
      <c r="P95" s="160"/>
      <c r="Q95" s="160"/>
      <c r="R95" s="160"/>
      <c r="S95" s="160"/>
      <c r="AC95" s="116">
        <v>10</v>
      </c>
    </row>
    <row r="96" spans="1:29" ht="14.65" customHeight="1">
      <c r="AC96" s="22">
        <v>14</v>
      </c>
    </row>
    <row r="97" spans="1:29" ht="14.65" customHeight="1">
      <c r="AC97" s="22">
        <v>14</v>
      </c>
    </row>
    <row r="98" spans="1:29" ht="14.65" customHeight="1">
      <c r="AC98" s="22">
        <v>14</v>
      </c>
    </row>
    <row r="99" spans="1:29" ht="14.65" customHeight="1">
      <c r="H99" s="3"/>
      <c r="AC99" s="22">
        <v>14</v>
      </c>
    </row>
    <row r="100" spans="1:29" ht="14.65" customHeight="1">
      <c r="AC100" s="22">
        <v>14</v>
      </c>
    </row>
    <row r="101" spans="1:29" ht="14.65" customHeight="1">
      <c r="AC101" s="22">
        <v>14</v>
      </c>
    </row>
    <row r="102" spans="1:29" ht="14.65" customHeight="1">
      <c r="AC102" s="22">
        <v>14</v>
      </c>
    </row>
    <row r="103" spans="1:29" ht="14.65" customHeight="1">
      <c r="J103" s="22"/>
      <c r="K103" s="22"/>
      <c r="L103" s="22"/>
      <c r="AC103" s="22">
        <v>14</v>
      </c>
    </row>
    <row r="104" spans="1:29" ht="22.5" hidden="1" customHeight="1">
      <c r="A104" s="690" t="s">
        <v>69</v>
      </c>
      <c r="B104" s="351">
        <v>0</v>
      </c>
      <c r="C104" s="690">
        <v>3</v>
      </c>
      <c r="D104" s="100">
        <v>3</v>
      </c>
      <c r="E104" s="22">
        <v>6</v>
      </c>
      <c r="F104" s="690">
        <v>0</v>
      </c>
      <c r="G104" s="22">
        <v>46</v>
      </c>
      <c r="H104" s="22">
        <v>42</v>
      </c>
      <c r="I104" s="22">
        <v>14</v>
      </c>
      <c r="J104" s="90">
        <v>3</v>
      </c>
      <c r="K104" s="90">
        <v>0</v>
      </c>
      <c r="L104" s="90">
        <v>0</v>
      </c>
      <c r="M104" s="90">
        <v>0</v>
      </c>
      <c r="N104" s="161">
        <v>0</v>
      </c>
      <c r="O104" s="90">
        <v>0</v>
      </c>
      <c r="P104" s="160">
        <v>0</v>
      </c>
      <c r="Q104" s="160">
        <v>0</v>
      </c>
      <c r="R104" s="160">
        <v>0</v>
      </c>
      <c r="S104" s="160">
        <v>0</v>
      </c>
      <c r="T104" s="22">
        <v>0</v>
      </c>
      <c r="U104" s="22">
        <v>0</v>
      </c>
      <c r="V104" s="22">
        <v>0</v>
      </c>
      <c r="W104" s="22">
        <v>0</v>
      </c>
      <c r="X104" s="22">
        <v>0</v>
      </c>
      <c r="Y104" s="22">
        <v>0</v>
      </c>
      <c r="Z104" s="22">
        <v>0</v>
      </c>
      <c r="AA104" s="22">
        <v>0</v>
      </c>
      <c r="AB104" s="22">
        <v>8</v>
      </c>
      <c r="AC104" s="22">
        <v>23</v>
      </c>
    </row>
  </sheetData>
  <sheetProtection formatColumns="0" formatRows="0" insertRows="0" deleteColumns="0" deleteRows="0" sort="0" autoFilter="0"/>
  <mergeCells count="26">
    <mergeCell ref="A87:A89"/>
    <mergeCell ref="A72:A74"/>
    <mergeCell ref="A75:A77"/>
    <mergeCell ref="A78:A80"/>
    <mergeCell ref="A81:A83"/>
    <mergeCell ref="A84:A86"/>
    <mergeCell ref="A57:A59"/>
    <mergeCell ref="A60:A62"/>
    <mergeCell ref="A63:A65"/>
    <mergeCell ref="A66:A68"/>
    <mergeCell ref="A69:A71"/>
    <mergeCell ref="A42:A44"/>
    <mergeCell ref="A45:A47"/>
    <mergeCell ref="A48:A50"/>
    <mergeCell ref="A51:A53"/>
    <mergeCell ref="A54:A56"/>
    <mergeCell ref="A21:A26"/>
    <mergeCell ref="A27:A29"/>
    <mergeCell ref="A30:A35"/>
    <mergeCell ref="A36:A38"/>
    <mergeCell ref="A39:A41"/>
    <mergeCell ref="A12:A14"/>
    <mergeCell ref="E4:I4"/>
    <mergeCell ref="E8:G8"/>
    <mergeCell ref="H8:I8"/>
    <mergeCell ref="A15:A20"/>
  </mergeCells>
  <dataValidations count="23">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4033">
        <v>1</v>
      </c>
      <c r="F2" s="1287"/>
      <c r="G2" s="1287"/>
      <c r="H2" s="1287"/>
      <c r="I2" s="1287"/>
      <c r="J2" s="1287"/>
      <c r="K2" s="1287"/>
      <c r="L2" s="1288"/>
      <c r="M2" s="1289"/>
      <c r="N2" s="1289"/>
      <c r="O2" s="1289"/>
      <c r="P2" s="295"/>
      <c r="Q2" s="294"/>
      <c r="R2" s="289"/>
      <c r="S2" s="1349" t="e">
        <f>INDEX(PT_DIFFERENTIATION_NUM_NTAR,MATCH(A2,PT_DIFFERENTIATION_NTAR_ID,0))</f>
        <v>#N/A</v>
      </c>
      <c r="T2" s="233" t="s">
        <v>195</v>
      </c>
      <c r="U2" s="235"/>
      <c r="V2" s="4027"/>
      <c r="W2" s="4028"/>
      <c r="X2" s="4028"/>
      <c r="Y2" s="4028"/>
      <c r="Z2" s="4028"/>
      <c r="AA2" s="4028"/>
      <c r="AB2" s="4029"/>
      <c r="AC2" s="4027" t="e">
        <f>INDEX(PT_DIFFERENTIATION_NTAR,MATCH(A2,PT_DIFFERENTIATION_NTAR_ID,0))</f>
        <v>#N/A</v>
      </c>
      <c r="AD2" s="4028"/>
      <c r="AE2" s="4028"/>
      <c r="AF2" s="4028"/>
      <c r="AG2" s="4028"/>
      <c r="AH2" s="4028"/>
      <c r="AI2" s="4028"/>
      <c r="AJ2" s="4029"/>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9">
        <v>0</v>
      </c>
    </row>
    <row r="3" spans="1:43" ht="23.25" hidden="1" customHeight="1">
      <c r="A3" s="1287"/>
      <c r="B3" s="1287"/>
      <c r="C3" s="1287"/>
      <c r="D3" s="1287"/>
      <c r="E3" s="4034"/>
      <c r="F3" s="4033">
        <v>1</v>
      </c>
      <c r="G3" s="1287"/>
      <c r="H3" s="1287"/>
      <c r="I3" s="1287"/>
      <c r="J3" s="1287"/>
      <c r="K3" s="1287"/>
      <c r="L3" s="1288"/>
      <c r="M3" s="1289"/>
      <c r="N3" s="1289"/>
      <c r="O3" s="1289"/>
      <c r="P3" s="1347"/>
      <c r="Q3" s="286"/>
      <c r="R3" s="287"/>
      <c r="S3" s="1349" t="e">
        <f>INDEX(PT_DIFFERENTIATION_NUM_TER,MATCH(B3,PT_DIFFERENTIATION_TER_ID,0))</f>
        <v>#N/A</v>
      </c>
      <c r="T3" s="243" t="s">
        <v>605</v>
      </c>
      <c r="U3" s="235"/>
      <c r="V3" s="4027"/>
      <c r="W3" s="4028"/>
      <c r="X3" s="4028"/>
      <c r="Y3" s="4028"/>
      <c r="Z3" s="4028"/>
      <c r="AA3" s="4028"/>
      <c r="AB3" s="4029"/>
      <c r="AC3" s="4027" t="e">
        <f>INDEX(PT_DIFFERENTIATION_TER,MATCH(B3,PT_DIFFERENTIATION_TER_ID,0))</f>
        <v>#N/A</v>
      </c>
      <c r="AD3" s="4028"/>
      <c r="AE3" s="4028"/>
      <c r="AF3" s="4028"/>
      <c r="AG3" s="4028"/>
      <c r="AH3" s="4028"/>
      <c r="AI3" s="4028"/>
      <c r="AJ3" s="4029"/>
      <c r="AK3" s="1182" t="s">
        <v>606</v>
      </c>
      <c r="AM3" s="434"/>
      <c r="AN3" s="434" t="str">
        <f t="shared" si="0"/>
        <v>Территория действия тарифа</v>
      </c>
      <c r="AO3" s="434"/>
      <c r="AP3" s="434"/>
      <c r="AQ3" s="1079">
        <v>0</v>
      </c>
    </row>
    <row r="4" spans="1:43" ht="23.25" hidden="1" customHeight="1">
      <c r="A4" s="1287"/>
      <c r="B4" s="1287"/>
      <c r="C4" s="1287"/>
      <c r="D4" s="1287"/>
      <c r="E4" s="4034"/>
      <c r="F4" s="4034"/>
      <c r="G4" s="4033">
        <v>1</v>
      </c>
      <c r="H4" s="1287"/>
      <c r="I4" s="1287"/>
      <c r="J4" s="1287"/>
      <c r="K4" s="1287"/>
      <c r="L4" s="1288"/>
      <c r="M4" s="1289"/>
      <c r="N4" s="1289"/>
      <c r="O4" s="1289"/>
      <c r="P4" s="288"/>
      <c r="Q4" s="286"/>
      <c r="R4" s="287"/>
      <c r="S4" s="1349" t="e">
        <f>INDEX(PT_DIFFERENTIATION_NUM_CS,MATCH(C4,PT_DIFFERENTIATION_CS_ID,0))</f>
        <v>#N/A</v>
      </c>
      <c r="T4" s="244" t="s">
        <v>690</v>
      </c>
      <c r="U4" s="235"/>
      <c r="V4" s="4027"/>
      <c r="W4" s="4028"/>
      <c r="X4" s="4028"/>
      <c r="Y4" s="4028"/>
      <c r="Z4" s="4028"/>
      <c r="AA4" s="4028"/>
      <c r="AB4" s="4029"/>
      <c r="AC4" s="4027" t="e">
        <f>INDEX(PT_DIFFERENTIATION_CS,MATCH(C4,PT_DIFFERENTIATION_CS_ID,0))</f>
        <v>#N/A</v>
      </c>
      <c r="AD4" s="4028"/>
      <c r="AE4" s="4028"/>
      <c r="AF4" s="4028"/>
      <c r="AG4" s="4028"/>
      <c r="AH4" s="4028"/>
      <c r="AI4" s="4028"/>
      <c r="AJ4" s="4029"/>
      <c r="AK4" s="1182" t="s">
        <v>691</v>
      </c>
      <c r="AM4" s="434"/>
      <c r="AN4" s="434" t="str">
        <f t="shared" si="0"/>
        <v>Наименование централизованной системы холодного водоснабжения</v>
      </c>
      <c r="AO4" s="434"/>
      <c r="AP4" s="434"/>
      <c r="AQ4" s="1079">
        <v>0</v>
      </c>
    </row>
    <row r="5" spans="1:43" ht="23.25" hidden="1" customHeight="1">
      <c r="A5" s="1287"/>
      <c r="B5" s="1287"/>
      <c r="C5" s="1287"/>
      <c r="D5" s="1287"/>
      <c r="E5" s="4034"/>
      <c r="F5" s="4034"/>
      <c r="G5" s="4034"/>
      <c r="H5" s="4034"/>
      <c r="I5" s="4035" t="e">
        <f>S4&amp;".1"</f>
        <v>#N/A</v>
      </c>
      <c r="J5" s="1287"/>
      <c r="K5" s="1287"/>
      <c r="L5" s="1288"/>
      <c r="P5" s="4037">
        <v>1</v>
      </c>
      <c r="Q5" s="1346"/>
      <c r="R5" s="290"/>
      <c r="S5" s="1349" t="e">
        <f>$I5</f>
        <v>#N/A</v>
      </c>
      <c r="T5" s="220" t="s">
        <v>692</v>
      </c>
      <c r="U5" s="235"/>
      <c r="V5" s="4101"/>
      <c r="W5" s="4102"/>
      <c r="X5" s="4102"/>
      <c r="Y5" s="4102"/>
      <c r="Z5" s="4102"/>
      <c r="AA5" s="4102"/>
      <c r="AB5" s="4103"/>
      <c r="AC5" s="4104"/>
      <c r="AD5" s="4105"/>
      <c r="AE5" s="4105"/>
      <c r="AF5" s="4105"/>
      <c r="AG5" s="4105"/>
      <c r="AH5" s="4105"/>
      <c r="AI5" s="4105"/>
      <c r="AJ5" s="4106"/>
      <c r="AK5" s="1182" t="s">
        <v>693</v>
      </c>
      <c r="AM5" s="434"/>
      <c r="AN5" s="434" t="str">
        <f t="shared" si="0"/>
        <v>Наименование признака дифференциации</v>
      </c>
      <c r="AO5" s="434"/>
      <c r="AP5" s="434"/>
      <c r="AQ5" s="1079">
        <v>0</v>
      </c>
    </row>
    <row r="6" spans="1:43" ht="23.25" hidden="1" customHeight="1">
      <c r="A6" s="1287"/>
      <c r="B6" s="1287"/>
      <c r="C6" s="1287"/>
      <c r="D6" s="1287"/>
      <c r="E6" s="4034"/>
      <c r="F6" s="4034"/>
      <c r="G6" s="4034"/>
      <c r="H6" s="4034"/>
      <c r="I6" s="4036"/>
      <c r="J6" s="4035" t="e">
        <f>I5&amp;".1"</f>
        <v>#N/A</v>
      </c>
      <c r="K6" s="1287"/>
      <c r="L6" s="1288" t="s">
        <v>614</v>
      </c>
      <c r="P6" s="4037"/>
      <c r="Q6" s="4037">
        <v>1</v>
      </c>
      <c r="R6" s="291"/>
      <c r="S6" s="1349" t="e">
        <f>$J6</f>
        <v>#N/A</v>
      </c>
      <c r="T6" s="221" t="s">
        <v>615</v>
      </c>
      <c r="U6" s="235"/>
      <c r="V6" s="4021"/>
      <c r="W6" s="4022"/>
      <c r="X6" s="4022"/>
      <c r="Y6" s="4022"/>
      <c r="Z6" s="4022"/>
      <c r="AA6" s="4022"/>
      <c r="AB6" s="4023"/>
      <c r="AC6" s="4021"/>
      <c r="AD6" s="4022"/>
      <c r="AE6" s="4022"/>
      <c r="AF6" s="4022"/>
      <c r="AG6" s="4022"/>
      <c r="AH6" s="4022"/>
      <c r="AI6" s="4022"/>
      <c r="AJ6" s="4023"/>
      <c r="AK6" s="1231" t="s">
        <v>694</v>
      </c>
      <c r="AM6" s="434"/>
      <c r="AN6" s="434" t="str">
        <f t="shared" si="0"/>
        <v>Группа потребителей</v>
      </c>
      <c r="AO6" s="434"/>
      <c r="AP6" s="434"/>
      <c r="AQ6" s="1079">
        <v>0</v>
      </c>
    </row>
    <row r="7" spans="1:43" ht="23.25" hidden="1" customHeight="1">
      <c r="A7" s="1287"/>
      <c r="B7" s="1287"/>
      <c r="C7" s="1287"/>
      <c r="D7" s="1287"/>
      <c r="E7" s="4034"/>
      <c r="F7" s="4034"/>
      <c r="G7" s="4034"/>
      <c r="H7" s="4034"/>
      <c r="I7" s="4036"/>
      <c r="J7" s="4036"/>
      <c r="K7" s="4035" t="e">
        <f>J6&amp;".1"</f>
        <v>#N/A</v>
      </c>
      <c r="L7" s="1288"/>
      <c r="P7" s="4037"/>
      <c r="Q7" s="4037"/>
      <c r="R7" s="291">
        <v>1</v>
      </c>
      <c r="S7" s="1349" t="e">
        <f>$K7</f>
        <v>#N/A</v>
      </c>
      <c r="T7" s="1361"/>
      <c r="U7" s="235"/>
      <c r="V7" s="685"/>
      <c r="W7" s="685"/>
      <c r="X7" s="1181"/>
      <c r="Y7" s="4038"/>
      <c r="Z7" s="3899" t="s">
        <v>53</v>
      </c>
      <c r="AA7" s="4038"/>
      <c r="AB7" s="3899" t="s">
        <v>53</v>
      </c>
      <c r="AC7" s="685"/>
      <c r="AD7" s="685"/>
      <c r="AE7" s="1181"/>
      <c r="AF7" s="4038"/>
      <c r="AG7" s="3899" t="s">
        <v>53</v>
      </c>
      <c r="AH7" s="4040"/>
      <c r="AI7" s="3899" t="s">
        <v>53</v>
      </c>
      <c r="AJ7" s="1362"/>
      <c r="AK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9">
        <v>0</v>
      </c>
    </row>
    <row r="8" spans="1:43" ht="14.25" hidden="1" customHeight="1">
      <c r="A8" s="1287"/>
      <c r="B8" s="1287"/>
      <c r="C8" s="1287"/>
      <c r="D8" s="1287"/>
      <c r="E8" s="4034"/>
      <c r="F8" s="4034"/>
      <c r="G8" s="4034"/>
      <c r="H8" s="4034"/>
      <c r="I8" s="4036"/>
      <c r="J8" s="4036"/>
      <c r="K8" s="4035"/>
      <c r="L8" s="1288"/>
      <c r="P8" s="4037"/>
      <c r="Q8" s="4037"/>
      <c r="R8" s="291"/>
      <c r="S8" s="1348"/>
      <c r="T8" s="235"/>
      <c r="U8" s="235"/>
      <c r="V8" s="260"/>
      <c r="W8" s="260"/>
      <c r="X8" s="263" t="str">
        <f>Y7&amp;"-"&amp;AA7</f>
        <v>-</v>
      </c>
      <c r="Y8" s="4039"/>
      <c r="Z8" s="3899"/>
      <c r="AA8" s="4039"/>
      <c r="AB8" s="3899"/>
      <c r="AC8" s="260"/>
      <c r="AD8" s="260"/>
      <c r="AE8" s="263" t="str">
        <f>AF7&amp;"-"&amp;AH7</f>
        <v>-</v>
      </c>
      <c r="AF8" s="4039"/>
      <c r="AG8" s="3899"/>
      <c r="AH8" s="4041"/>
      <c r="AI8" s="3899"/>
      <c r="AJ8" s="1363"/>
      <c r="AK8" s="4107"/>
      <c r="AM8" s="434"/>
      <c r="AN8" s="434" t="str">
        <f t="shared" si="0"/>
        <v/>
      </c>
      <c r="AO8" s="434"/>
      <c r="AP8" s="434"/>
      <c r="AQ8" s="1079">
        <v>0</v>
      </c>
    </row>
    <row r="9" spans="1:43" ht="21" hidden="1" customHeight="1">
      <c r="A9" s="1287"/>
      <c r="B9" s="1287"/>
      <c r="C9" s="1287"/>
      <c r="D9" s="1287"/>
      <c r="E9" s="4034"/>
      <c r="F9" s="4034"/>
      <c r="G9" s="4034"/>
      <c r="H9" s="4034"/>
      <c r="I9" s="4036"/>
      <c r="J9" s="4035"/>
      <c r="K9" s="1287"/>
      <c r="L9" s="1288"/>
      <c r="P9" s="4037"/>
      <c r="Q9" s="4037"/>
      <c r="R9" s="290"/>
      <c r="S9" s="1202"/>
      <c r="T9" s="222" t="s">
        <v>695</v>
      </c>
      <c r="U9" s="301"/>
      <c r="V9" s="301"/>
      <c r="W9" s="301"/>
      <c r="X9" s="301"/>
      <c r="Y9" s="301"/>
      <c r="Z9" s="301"/>
      <c r="AA9" s="301"/>
      <c r="AB9" s="301"/>
      <c r="AC9" s="301"/>
      <c r="AD9" s="301"/>
      <c r="AE9" s="301"/>
      <c r="AF9" s="301"/>
      <c r="AG9" s="301"/>
      <c r="AH9" s="301"/>
      <c r="AI9" s="301"/>
      <c r="AJ9" s="301"/>
      <c r="AK9" s="1182" t="s">
        <v>696</v>
      </c>
      <c r="AM9" s="434"/>
      <c r="AN9" s="434" t="str">
        <f t="shared" si="0"/>
        <v>Добавить значение признака дифференциации</v>
      </c>
      <c r="AO9" s="434"/>
      <c r="AP9" s="434"/>
      <c r="AQ9" s="1079">
        <v>0</v>
      </c>
    </row>
    <row r="10" spans="1:43" ht="21" hidden="1" customHeight="1">
      <c r="A10" s="1287"/>
      <c r="B10" s="1287"/>
      <c r="C10" s="1287"/>
      <c r="D10" s="1287"/>
      <c r="E10" s="4034"/>
      <c r="F10" s="4034"/>
      <c r="G10" s="4034"/>
      <c r="H10" s="4034"/>
      <c r="I10" s="4035"/>
      <c r="J10" s="1287"/>
      <c r="K10" s="1287"/>
      <c r="L10" s="1288"/>
      <c r="P10" s="4037"/>
      <c r="Q10" s="1346"/>
      <c r="R10" s="290"/>
      <c r="S10" s="1202"/>
      <c r="T10" s="299" t="s">
        <v>620</v>
      </c>
      <c r="U10" s="301"/>
      <c r="V10" s="301"/>
      <c r="W10" s="301"/>
      <c r="X10" s="301"/>
      <c r="Y10" s="301"/>
      <c r="Z10" s="301"/>
      <c r="AA10" s="301"/>
      <c r="AB10" s="300"/>
      <c r="AC10" s="301"/>
      <c r="AD10" s="301"/>
      <c r="AE10" s="301"/>
      <c r="AF10" s="301"/>
      <c r="AG10" s="301"/>
      <c r="AH10" s="301"/>
      <c r="AI10" s="300"/>
      <c r="AJ10" s="301"/>
      <c r="AK10" s="1364"/>
      <c r="AM10" s="434"/>
      <c r="AN10" s="434" t="str">
        <f t="shared" si="0"/>
        <v>Добавить группу потребителей</v>
      </c>
      <c r="AO10" s="434"/>
      <c r="AP10" s="434"/>
      <c r="AQ10" s="1079">
        <v>0</v>
      </c>
    </row>
    <row r="11" spans="1:43" ht="14.25" hidden="1" customHeight="1">
      <c r="A11" s="1287"/>
      <c r="B11" s="1287"/>
      <c r="C11" s="1287"/>
      <c r="D11" s="1287"/>
      <c r="E11" s="4034"/>
      <c r="F11" s="4034"/>
      <c r="G11" s="4034"/>
      <c r="H11" s="4033"/>
      <c r="I11" s="1287"/>
      <c r="J11" s="1287"/>
      <c r="K11" s="1287"/>
      <c r="L11" s="1288"/>
      <c r="M11" s="1289"/>
      <c r="N11" s="1289"/>
      <c r="O11" s="471"/>
      <c r="P11" s="294"/>
      <c r="Q11" s="309"/>
      <c r="R11" s="289"/>
      <c r="S11" s="1202"/>
      <c r="T11" s="306" t="s">
        <v>697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9">
        <v>0</v>
      </c>
    </row>
    <row r="12" spans="1:43" s="1566" customFormat="1" ht="14.25" hidden="1" customHeight="1">
      <c r="A12" s="1267"/>
      <c r="B12" s="1267"/>
      <c r="C12" s="1238"/>
      <c r="D12" s="1238"/>
      <c r="E12" s="4034"/>
      <c r="F12" s="4033"/>
      <c r="G12" s="1238"/>
      <c r="H12" s="1238"/>
      <c r="I12" s="1238"/>
      <c r="J12" s="1238"/>
      <c r="K12" s="1238"/>
      <c r="L12" s="1350"/>
      <c r="M12" s="1245"/>
      <c r="N12" s="1245"/>
      <c r="P12" s="1240"/>
      <c r="Q12" s="1241"/>
      <c r="R12" s="1240"/>
      <c r="S12" s="1246"/>
      <c r="T12" s="1249" t="s">
        <v>236</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2">
        <v>0</v>
      </c>
    </row>
    <row r="13" spans="1:43" s="1566" customFormat="1" ht="14.25" hidden="1" customHeight="1">
      <c r="A13" s="1267"/>
      <c r="B13" s="1267"/>
      <c r="C13" s="1267"/>
      <c r="D13" s="1267"/>
      <c r="E13" s="4033"/>
      <c r="F13" s="1267"/>
      <c r="G13" s="1267"/>
      <c r="H13" s="1267"/>
      <c r="I13" s="1267"/>
      <c r="J13" s="1267"/>
      <c r="K13" s="1267"/>
      <c r="L13" s="1270"/>
      <c r="M13" s="1245"/>
      <c r="N13" s="1245"/>
      <c r="O13" s="452"/>
      <c r="P13" s="314"/>
      <c r="Q13" s="1268"/>
      <c r="R13" s="314"/>
      <c r="S13" s="1246"/>
      <c r="T13" s="1249" t="s">
        <v>286</v>
      </c>
      <c r="U13" s="1248"/>
      <c r="V13" s="1248"/>
      <c r="W13" s="1248"/>
      <c r="X13" s="1248"/>
      <c r="Y13" s="1248"/>
      <c r="Z13" s="1248"/>
      <c r="AA13" s="1248"/>
      <c r="AB13" s="1248"/>
      <c r="AC13" s="1248"/>
      <c r="AD13" s="1248"/>
      <c r="AE13" s="1248"/>
      <c r="AF13" s="1248"/>
      <c r="AG13" s="1248"/>
      <c r="AH13" s="1248"/>
      <c r="AI13" s="1248"/>
      <c r="AJ13" s="1248"/>
      <c r="AK13" s="1248"/>
      <c r="AM13" s="434"/>
      <c r="AN13" s="434" t="str">
        <f t="shared" si="0"/>
        <v>Добавить территорию для дифференциации</v>
      </c>
      <c r="AO13" s="434"/>
      <c r="AP13" s="434"/>
      <c r="AQ13" s="445">
        <v>0</v>
      </c>
    </row>
    <row r="14" spans="1:43" ht="14.25" hidden="1" customHeight="1">
      <c r="AB14" s="262"/>
      <c r="AI14" s="262"/>
      <c r="AQ14" s="1079">
        <v>0</v>
      </c>
    </row>
    <row r="15" spans="1:43" ht="14.25" hidden="1" customHeight="1">
      <c r="AC15" s="1284"/>
      <c r="AD15" s="1284"/>
      <c r="AE15" s="1285"/>
      <c r="AF15" s="4031"/>
      <c r="AG15" s="4030" t="s">
        <v>53</v>
      </c>
      <c r="AH15" s="4031"/>
      <c r="AI15" s="4030" t="s">
        <v>53</v>
      </c>
      <c r="AQ15" s="1079">
        <v>0</v>
      </c>
    </row>
    <row r="16" spans="1:43" ht="14.25" hidden="1" customHeight="1">
      <c r="AC16" s="1284"/>
      <c r="AD16" s="1284"/>
      <c r="AE16" s="263" t="str">
        <f>AF15&amp;"-"&amp;AH15</f>
        <v>-</v>
      </c>
      <c r="AF16" s="4030"/>
      <c r="AG16" s="4030"/>
      <c r="AH16" s="4030"/>
      <c r="AI16" s="4030"/>
      <c r="AQ16" s="1079">
        <v>0</v>
      </c>
    </row>
    <row r="17" spans="1:43" ht="14.25" hidden="1" customHeight="1">
      <c r="AI17" s="262"/>
      <c r="AQ17" s="1079">
        <v>0</v>
      </c>
    </row>
    <row r="18" spans="1:43" s="1290" customFormat="1" ht="22.5" hidden="1" customHeight="1">
      <c r="L18" s="1345"/>
      <c r="M18" s="1286"/>
      <c r="N18" s="1286"/>
      <c r="O18" s="1291" t="s">
        <v>622</v>
      </c>
      <c r="P18" s="1286"/>
      <c r="Q18" s="1295"/>
      <c r="R18" s="1295"/>
      <c r="S18" s="663"/>
      <c r="Y18" s="1291"/>
      <c r="AA18" s="1291"/>
      <c r="AF18" s="1291"/>
      <c r="AH18" s="1291"/>
      <c r="AL18" s="445"/>
      <c r="AM18" s="445"/>
      <c r="AN18" s="445"/>
      <c r="AO18" s="445"/>
      <c r="AP18" s="445"/>
      <c r="AQ18" s="1084">
        <v>0</v>
      </c>
    </row>
    <row r="19" spans="1:43" s="1290" customFormat="1" ht="14.25" hidden="1" customHeight="1">
      <c r="L19" s="1345"/>
      <c r="M19" s="1286"/>
      <c r="N19" s="1286"/>
      <c r="O19" s="1286"/>
      <c r="P19" s="1286"/>
      <c r="Q19" s="1295"/>
      <c r="R19" s="1295"/>
      <c r="S19" s="663"/>
      <c r="AL19" s="445"/>
      <c r="AM19" s="445"/>
      <c r="AN19" s="445"/>
      <c r="AO19" s="445"/>
      <c r="AP19" s="445"/>
      <c r="AQ19" s="1084">
        <v>0</v>
      </c>
    </row>
    <row r="20" spans="1:43" s="1290" customFormat="1" ht="12" hidden="1" customHeight="1">
      <c r="L20" s="1345"/>
      <c r="M20" s="1286"/>
      <c r="N20" s="1286"/>
      <c r="O20" s="1288" t="s">
        <v>623</v>
      </c>
      <c r="P20" s="1286"/>
      <c r="Q20" s="1366"/>
      <c r="R20" s="1366"/>
      <c r="S20" s="663"/>
      <c r="T20" s="1084" t="s">
        <v>624</v>
      </c>
      <c r="Z20" s="121" t="s">
        <v>625</v>
      </c>
      <c r="AB20" s="121" t="s">
        <v>626</v>
      </c>
      <c r="AC20" s="1084" t="s">
        <v>624</v>
      </c>
      <c r="AG20" s="121" t="s">
        <v>627</v>
      </c>
      <c r="AI20" s="121" t="s">
        <v>626</v>
      </c>
      <c r="AQ20" s="1084">
        <v>0</v>
      </c>
    </row>
    <row r="21" spans="1:43" ht="14.25" hidden="1" customHeight="1">
      <c r="O21" s="1288"/>
      <c r="AQ21" s="1079">
        <v>0</v>
      </c>
    </row>
    <row r="22" spans="1:43" ht="14.25" hidden="1" customHeight="1">
      <c r="O22" s="1288"/>
      <c r="AQ22" s="1079">
        <v>0</v>
      </c>
    </row>
    <row r="23" spans="1:43" ht="14.65" customHeight="1">
      <c r="Q23" s="310"/>
      <c r="R23" s="310"/>
      <c r="S23" s="1199"/>
      <c r="T23" s="297"/>
      <c r="U23" s="297"/>
      <c r="V23" s="443"/>
      <c r="W23" s="443"/>
      <c r="X23" s="443"/>
      <c r="Y23" s="443"/>
      <c r="Z23" s="443"/>
      <c r="AA23" s="443"/>
      <c r="AB23" s="443"/>
      <c r="AC23" s="443"/>
      <c r="AD23" s="443"/>
      <c r="AE23" s="443"/>
      <c r="AF23" s="443"/>
      <c r="AG23" s="443"/>
      <c r="AH23" s="443"/>
      <c r="AI23" s="443"/>
      <c r="AQ23" s="1079">
        <v>14</v>
      </c>
    </row>
    <row r="24" spans="1:43" ht="14.65" customHeight="1">
      <c r="Q24" s="310"/>
      <c r="R24" s="310"/>
      <c r="S24" s="40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014"/>
      <c r="U24" s="4014"/>
      <c r="V24" s="4014"/>
      <c r="W24" s="4014"/>
      <c r="X24" s="4014"/>
      <c r="Y24" s="4014"/>
      <c r="Z24" s="4014"/>
      <c r="AA24" s="4014"/>
      <c r="AB24" s="4014"/>
      <c r="AC24" s="4014"/>
      <c r="AD24" s="4014"/>
      <c r="AE24" s="4014"/>
      <c r="AF24" s="4014"/>
      <c r="AG24" s="4014"/>
      <c r="AH24" s="4014"/>
      <c r="AI24" s="1167"/>
      <c r="AQ24" s="1079">
        <v>14</v>
      </c>
    </row>
    <row r="25" spans="1:43" ht="14.65" customHeight="1">
      <c r="Q25" s="310"/>
      <c r="R25" s="310"/>
      <c r="S25" s="3987" t="str">
        <f>IF(org=0,"Не определено",org)</f>
        <v>ООО "Смоленскрегионтеплоэнерго"</v>
      </c>
      <c r="T25" s="3987"/>
      <c r="U25" s="3987"/>
      <c r="V25" s="3987"/>
      <c r="W25" s="3987"/>
      <c r="X25" s="3987"/>
      <c r="Y25" s="3987"/>
      <c r="Z25" s="3987"/>
      <c r="AA25" s="3987"/>
      <c r="AB25" s="3987"/>
      <c r="AC25" s="3987"/>
      <c r="AD25" s="3987"/>
      <c r="AE25" s="3987"/>
      <c r="AF25" s="3987"/>
      <c r="AG25" s="3987"/>
      <c r="AH25" s="3987"/>
      <c r="AI25" s="1167"/>
      <c r="AQ25" s="1079">
        <v>14</v>
      </c>
    </row>
    <row r="26" spans="1:43" ht="14.25" hidden="1" customHeight="1">
      <c r="Q26" s="310"/>
      <c r="R26" s="310"/>
      <c r="S26" s="1199"/>
      <c r="T26" s="297"/>
      <c r="U26" s="297"/>
      <c r="V26" s="257"/>
      <c r="W26" s="257"/>
      <c r="X26" s="257"/>
      <c r="Y26" s="257"/>
      <c r="Z26" s="257"/>
      <c r="AA26" s="257"/>
      <c r="AB26" s="257"/>
      <c r="AC26" s="257"/>
      <c r="AD26" s="257"/>
      <c r="AE26" s="257"/>
      <c r="AF26" s="257"/>
      <c r="AG26" s="257"/>
      <c r="AH26" s="257"/>
      <c r="AI26" s="257"/>
      <c r="AJ26" s="443"/>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4024" t="s">
        <v>29</v>
      </c>
      <c r="T27" s="4024"/>
      <c r="U27" s="1296"/>
      <c r="V27" s="4026" t="str">
        <f>IF(TITLE_NAME_OR_PR_CHANGE="",IF(TITLE_NAME_OR_PR="","",TITLE_NAME_OR_PR),TITLE_NAME_OR_PR_CHANGE)</f>
        <v/>
      </c>
      <c r="W27" s="4026"/>
      <c r="X27" s="4026"/>
      <c r="Y27" s="4026"/>
      <c r="Z27" s="4026"/>
      <c r="AA27" s="4026"/>
      <c r="AB27" s="261"/>
      <c r="AC27" s="4026" t="str">
        <f>IF(TITLE_NAME_OR_PR_CHANGE="",IF(TITLE_NAME_OR_PR="","",TITLE_NAME_OR_PR),TITLE_NAME_OR_PR_CHANGE)</f>
        <v/>
      </c>
      <c r="AD27" s="4026"/>
      <c r="AE27" s="4026"/>
      <c r="AF27" s="4026"/>
      <c r="AG27" s="4026"/>
      <c r="AH27" s="4026"/>
      <c r="AI27" s="261"/>
      <c r="AJ27" s="261"/>
      <c r="AK27" s="215"/>
      <c r="AL27" s="302"/>
      <c r="AM27" s="302"/>
      <c r="AN27" s="302"/>
      <c r="AO27" s="302"/>
      <c r="AP27" s="302"/>
      <c r="AQ27" s="352">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4024" t="s">
        <v>628</v>
      </c>
      <c r="T28" s="4024"/>
      <c r="U28" s="1296"/>
      <c r="V28" s="4025">
        <f>IF(TITLE_DATE_PR_CHANGE="",IF(TITLE_DATE_PR="","",TITLE_DATE_PR),TITLE_DATE_PR_CHANGE)</f>
        <v>45765</v>
      </c>
      <c r="W28" s="4025"/>
      <c r="X28" s="4025"/>
      <c r="Y28" s="4025"/>
      <c r="Z28" s="4025"/>
      <c r="AA28" s="4025"/>
      <c r="AB28" s="261"/>
      <c r="AC28" s="4025">
        <f>IF(TITLE_DATE_PR_CHANGE="",IF(TITLE_DATE_PR="","",TITLE_DATE_PR),TITLE_DATE_PR_CHANGE)</f>
        <v>45765</v>
      </c>
      <c r="AD28" s="4025"/>
      <c r="AE28" s="4025"/>
      <c r="AF28" s="4025"/>
      <c r="AG28" s="4025"/>
      <c r="AH28" s="4025"/>
      <c r="AI28" s="261"/>
      <c r="AJ28" s="261"/>
      <c r="AK28" s="215"/>
      <c r="AL28" s="302"/>
      <c r="AM28" s="302"/>
      <c r="AN28" s="302"/>
      <c r="AO28" s="302"/>
      <c r="AP28" s="302"/>
      <c r="AQ28" s="352">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4024" t="s">
        <v>629</v>
      </c>
      <c r="T29" s="4024"/>
      <c r="U29" s="1296"/>
      <c r="V29" s="4026" t="str">
        <f>IF(TITLE_NUMBER_PR_CHANGE="",IF(TITLE_NUMBER_PR="","",TITLE_NUMBER_PR),TITLE_NUMBER_PR_CHANGE)</f>
        <v>917</v>
      </c>
      <c r="W29" s="4026"/>
      <c r="X29" s="4026"/>
      <c r="Y29" s="4026"/>
      <c r="Z29" s="4026"/>
      <c r="AA29" s="4026"/>
      <c r="AB29" s="261"/>
      <c r="AC29" s="4026" t="str">
        <f>IF(TITLE_NUMBER_PR_CHANGE="",IF(TITLE_NUMBER_PR="","",TITLE_NUMBER_PR),TITLE_NUMBER_PR_CHANGE)</f>
        <v>917</v>
      </c>
      <c r="AD29" s="4026"/>
      <c r="AE29" s="4026"/>
      <c r="AF29" s="4026"/>
      <c r="AG29" s="4026"/>
      <c r="AH29" s="4026"/>
      <c r="AI29" s="261"/>
      <c r="AJ29" s="261"/>
      <c r="AK29" s="215"/>
      <c r="AL29" s="302"/>
      <c r="AM29" s="302"/>
      <c r="AN29" s="302"/>
      <c r="AO29" s="302"/>
      <c r="AP29" s="302"/>
      <c r="AQ29" s="352">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4024" t="s">
        <v>30</v>
      </c>
      <c r="T30" s="4024"/>
      <c r="U30" s="1296"/>
      <c r="V30" s="4026" t="str">
        <f>IF(TITLE_IST_PUB_CHANGE="",IF(TITLE_IST_PUB="","",TITLE_IST_PUB),TITLE_IST_PUB_CHANGE)</f>
        <v/>
      </c>
      <c r="W30" s="4026"/>
      <c r="X30" s="4026"/>
      <c r="Y30" s="4026"/>
      <c r="Z30" s="4026"/>
      <c r="AA30" s="4026"/>
      <c r="AB30" s="261"/>
      <c r="AC30" s="4026" t="str">
        <f>IF(TITLE_IST_PUB_CHANGE="",IF(TITLE_IST_PUB="","",TITLE_IST_PUB),TITLE_IST_PUB_CHANGE)</f>
        <v/>
      </c>
      <c r="AD30" s="4026"/>
      <c r="AE30" s="4026"/>
      <c r="AF30" s="4026"/>
      <c r="AG30" s="4026"/>
      <c r="AH30" s="4026"/>
      <c r="AI30" s="261"/>
      <c r="AJ30" s="261"/>
      <c r="AK30" s="215"/>
      <c r="AL30" s="302"/>
      <c r="AM30" s="302"/>
      <c r="AN30" s="302"/>
      <c r="AO30" s="302"/>
      <c r="AP30" s="302"/>
      <c r="AQ30" s="352">
        <v>0</v>
      </c>
    </row>
    <row r="31" spans="1:43" ht="14.25" customHeight="1">
      <c r="Q31" s="310"/>
      <c r="R31" s="310"/>
      <c r="S31" s="1199"/>
      <c r="T31" s="297"/>
      <c r="U31" s="297"/>
      <c r="V31" s="257"/>
      <c r="W31" s="257"/>
      <c r="X31" s="257"/>
      <c r="Y31" s="257"/>
      <c r="Z31" s="257"/>
      <c r="AA31" s="257"/>
      <c r="AB31" s="257"/>
      <c r="AC31" s="257"/>
      <c r="AD31" s="257"/>
      <c r="AE31" s="257"/>
      <c r="AF31" s="257"/>
      <c r="AG31" s="257"/>
      <c r="AH31" s="257"/>
      <c r="AI31" s="257"/>
      <c r="AJ31" s="443"/>
      <c r="AQ31" s="1079">
        <v>0</v>
      </c>
    </row>
    <row r="32" spans="1:43" s="1748" customFormat="1" ht="18.75" customHeight="1">
      <c r="A32" s="1292"/>
      <c r="B32" s="1292"/>
      <c r="C32" s="1292"/>
      <c r="D32" s="1292"/>
      <c r="E32" s="1292"/>
      <c r="F32" s="1292"/>
      <c r="G32" s="1292"/>
      <c r="H32" s="1292"/>
      <c r="I32" s="1292"/>
      <c r="J32" s="1292"/>
      <c r="K32" s="1292"/>
      <c r="L32" s="1293"/>
      <c r="M32" s="1292"/>
      <c r="N32" s="1292"/>
      <c r="O32" s="1292"/>
      <c r="S32" s="4024" t="s">
        <v>630</v>
      </c>
      <c r="T32" s="4024"/>
      <c r="U32" s="1296"/>
      <c r="V32" s="4025">
        <f>IF(TITLE_DATE_PR_CHANGE="",IF(TITLE_DATE_PR="","",TITLE_DATE_PR),TITLE_DATE_PR_CHANGE)</f>
        <v>45765</v>
      </c>
      <c r="W32" s="4025"/>
      <c r="X32" s="4025"/>
      <c r="Y32" s="4025"/>
      <c r="Z32" s="4025"/>
      <c r="AA32" s="4025"/>
      <c r="AB32" s="261"/>
      <c r="AC32" s="4025">
        <f>IF(TITLE_DATE_PR_CHANGE="",IF(TITLE_DATE_PR="","",TITLE_DATE_PR),TITLE_DATE_PR_CHANGE)</f>
        <v>45765</v>
      </c>
      <c r="AD32" s="4025"/>
      <c r="AE32" s="4025"/>
      <c r="AF32" s="4025"/>
      <c r="AG32" s="4025"/>
      <c r="AH32" s="4025"/>
      <c r="AI32" s="261"/>
      <c r="AJ32" s="261"/>
      <c r="AK32" s="215"/>
      <c r="AL32" s="302"/>
      <c r="AM32" s="302"/>
      <c r="AN32" s="302"/>
      <c r="AO32" s="302"/>
      <c r="AP32" s="302"/>
      <c r="AQ32" s="352">
        <v>0</v>
      </c>
    </row>
    <row r="33" spans="1:43" s="1748" customFormat="1" ht="18.75" customHeight="1">
      <c r="A33" s="1292"/>
      <c r="B33" s="1292"/>
      <c r="C33" s="1292"/>
      <c r="D33" s="1292"/>
      <c r="E33" s="1292"/>
      <c r="F33" s="1292"/>
      <c r="G33" s="1292"/>
      <c r="H33" s="1292"/>
      <c r="I33" s="1292"/>
      <c r="J33" s="1292"/>
      <c r="K33" s="1292"/>
      <c r="L33" s="1293"/>
      <c r="M33" s="1292"/>
      <c r="N33" s="1292"/>
      <c r="O33" s="1292"/>
      <c r="S33" s="4024" t="s">
        <v>631</v>
      </c>
      <c r="T33" s="4024"/>
      <c r="U33" s="1296"/>
      <c r="V33" s="4026" t="str">
        <f>IF(TITLE_NUMBER_PR_CHANGE="",IF(TITLE_NUMBER_PR="","",TITLE_NUMBER_PR),TITLE_NUMBER_PR_CHANGE)</f>
        <v>917</v>
      </c>
      <c r="W33" s="4026"/>
      <c r="X33" s="4026"/>
      <c r="Y33" s="4026"/>
      <c r="Z33" s="4026"/>
      <c r="AA33" s="4026"/>
      <c r="AB33" s="261"/>
      <c r="AC33" s="4026" t="str">
        <f>IF(TITLE_NUMBER_PR_CHANGE="",IF(TITLE_NUMBER_PR="","",TITLE_NUMBER_PR),TITLE_NUMBER_PR_CHANGE)</f>
        <v>917</v>
      </c>
      <c r="AD33" s="4026"/>
      <c r="AE33" s="4026"/>
      <c r="AF33" s="4026"/>
      <c r="AG33" s="4026"/>
      <c r="AH33" s="4026"/>
      <c r="AI33" s="261"/>
      <c r="AJ33" s="261"/>
      <c r="AK33" s="215"/>
      <c r="AL33" s="302"/>
      <c r="AM33" s="302"/>
      <c r="AN33" s="302"/>
      <c r="AO33" s="302"/>
      <c r="AP33" s="302"/>
      <c r="AQ33" s="352">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279"/>
      <c r="V34" s="261"/>
      <c r="W34" s="261"/>
      <c r="X34" s="261"/>
      <c r="Y34" s="261"/>
      <c r="Z34" s="261"/>
      <c r="AA34" s="261"/>
      <c r="AB34" s="213" t="s">
        <v>632</v>
      </c>
      <c r="AC34" s="261"/>
      <c r="AD34" s="261"/>
      <c r="AE34" s="261"/>
      <c r="AF34" s="261"/>
      <c r="AG34" s="261"/>
      <c r="AH34" s="261"/>
      <c r="AI34" s="213" t="s">
        <v>632</v>
      </c>
      <c r="AL34" s="302"/>
      <c r="AM34" s="302"/>
      <c r="AN34" s="302"/>
      <c r="AO34" s="302"/>
      <c r="AP34" s="302"/>
      <c r="AQ34" s="352">
        <v>1</v>
      </c>
    </row>
    <row r="35" spans="1:43" ht="14.65" customHeight="1">
      <c r="Q35" s="310"/>
      <c r="R35" s="310"/>
      <c r="S35" s="1199"/>
      <c r="T35" s="297"/>
      <c r="U35" s="1168"/>
      <c r="V35" s="4045"/>
      <c r="W35" s="4045"/>
      <c r="X35" s="4045"/>
      <c r="Y35" s="4045"/>
      <c r="Z35" s="4045"/>
      <c r="AA35" s="4045"/>
      <c r="AB35" s="4045"/>
      <c r="AC35" s="4045"/>
      <c r="AD35" s="4045"/>
      <c r="AE35" s="4045"/>
      <c r="AF35" s="4045"/>
      <c r="AG35" s="4045"/>
      <c r="AH35" s="4045"/>
      <c r="AI35" s="4045"/>
      <c r="AQ35" s="1079">
        <v>14</v>
      </c>
    </row>
    <row r="36" spans="1:43" ht="14.65" customHeight="1">
      <c r="Q36" s="310"/>
      <c r="R36" s="310"/>
      <c r="S36" s="3889" t="s">
        <v>508</v>
      </c>
      <c r="T36" s="3889"/>
      <c r="U36" s="3889"/>
      <c r="V36" s="3889"/>
      <c r="W36" s="3889"/>
      <c r="X36" s="3889"/>
      <c r="Y36" s="3889"/>
      <c r="Z36" s="3889"/>
      <c r="AA36" s="3889"/>
      <c r="AB36" s="3889"/>
      <c r="AC36" s="3889"/>
      <c r="AD36" s="3889"/>
      <c r="AE36" s="3889"/>
      <c r="AF36" s="3889"/>
      <c r="AG36" s="3889"/>
      <c r="AH36" s="3889"/>
      <c r="AI36" s="3889"/>
      <c r="AJ36" s="3889"/>
      <c r="AK36" s="3889" t="s">
        <v>509</v>
      </c>
      <c r="AQ36" s="1079">
        <v>14</v>
      </c>
    </row>
    <row r="37" spans="1:43" ht="14.65" customHeight="1">
      <c r="Q37" s="310"/>
      <c r="R37" s="310"/>
      <c r="S37" s="4046" t="s">
        <v>75</v>
      </c>
      <c r="T37" s="3995" t="s">
        <v>633</v>
      </c>
      <c r="U37" s="236"/>
      <c r="V37" s="4047" t="s">
        <v>634</v>
      </c>
      <c r="W37" s="4048"/>
      <c r="X37" s="4048"/>
      <c r="Y37" s="4048"/>
      <c r="Z37" s="4048"/>
      <c r="AA37" s="4049"/>
      <c r="AB37" s="4050" t="s">
        <v>635</v>
      </c>
      <c r="AC37" s="4047" t="s">
        <v>634</v>
      </c>
      <c r="AD37" s="4048"/>
      <c r="AE37" s="4048"/>
      <c r="AF37" s="4048"/>
      <c r="AG37" s="4048"/>
      <c r="AH37" s="4049"/>
      <c r="AI37" s="4050" t="s">
        <v>636</v>
      </c>
      <c r="AJ37" s="4053" t="s">
        <v>637</v>
      </c>
      <c r="AK37" s="3889"/>
      <c r="AQ37" s="1079">
        <v>14</v>
      </c>
    </row>
    <row r="38" spans="1:43" ht="35.65" customHeight="1">
      <c r="Q38" s="310"/>
      <c r="R38" s="310"/>
      <c r="S38" s="4046"/>
      <c r="T38" s="3995"/>
      <c r="U38" s="958"/>
      <c r="V38" s="1276" t="s">
        <v>698</v>
      </c>
      <c r="W38" s="3870" t="s">
        <v>640</v>
      </c>
      <c r="X38" s="3869"/>
      <c r="Y38" s="3870" t="s">
        <v>641</v>
      </c>
      <c r="Z38" s="3875"/>
      <c r="AA38" s="3869"/>
      <c r="AB38" s="4051"/>
      <c r="AC38" s="1276" t="s">
        <v>698</v>
      </c>
      <c r="AD38" s="3870" t="s">
        <v>640</v>
      </c>
      <c r="AE38" s="3869"/>
      <c r="AF38" s="3870" t="s">
        <v>641</v>
      </c>
      <c r="AG38" s="3875"/>
      <c r="AH38" s="3869"/>
      <c r="AI38" s="4051"/>
      <c r="AJ38" s="4054"/>
      <c r="AK38" s="3889"/>
      <c r="AQ38" s="1079">
        <v>34</v>
      </c>
    </row>
    <row r="39" spans="1:43" ht="35.65" customHeight="1">
      <c r="A39" s="1294"/>
      <c r="B39" s="1294" t="s">
        <v>207</v>
      </c>
      <c r="C39" s="1294" t="s">
        <v>208</v>
      </c>
      <c r="D39" s="1294" t="s">
        <v>209</v>
      </c>
      <c r="E39" s="1288" t="s">
        <v>642</v>
      </c>
      <c r="F39" s="1288" t="s">
        <v>643</v>
      </c>
      <c r="G39" s="1288" t="s">
        <v>644</v>
      </c>
      <c r="H39" s="1288"/>
      <c r="I39" s="1288" t="s">
        <v>699</v>
      </c>
      <c r="J39" s="1288" t="s">
        <v>647</v>
      </c>
      <c r="K39" s="1288" t="s">
        <v>700</v>
      </c>
      <c r="L39" s="1288" t="s">
        <v>623</v>
      </c>
      <c r="Q39" s="310"/>
      <c r="R39" s="310"/>
      <c r="S39" s="4046"/>
      <c r="T39" s="3995"/>
      <c r="U39" s="237"/>
      <c r="V39" s="1276" t="s">
        <v>701</v>
      </c>
      <c r="W39" s="1146" t="s">
        <v>702</v>
      </c>
      <c r="X39" s="1146" t="s">
        <v>703</v>
      </c>
      <c r="Y39" s="1281" t="s">
        <v>651</v>
      </c>
      <c r="Z39" s="4000" t="s">
        <v>652</v>
      </c>
      <c r="AA39" s="4013"/>
      <c r="AB39" s="4052"/>
      <c r="AC39" s="1276" t="s">
        <v>701</v>
      </c>
      <c r="AD39" s="1146" t="s">
        <v>702</v>
      </c>
      <c r="AE39" s="1146" t="s">
        <v>703</v>
      </c>
      <c r="AF39" s="1281" t="s">
        <v>651</v>
      </c>
      <c r="AG39" s="4000" t="s">
        <v>652</v>
      </c>
      <c r="AH39" s="4013"/>
      <c r="AI39" s="4052"/>
      <c r="AJ39" s="4055"/>
      <c r="AK39" s="3889"/>
      <c r="AQ39" s="1079">
        <v>34</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184</v>
      </c>
      <c r="T40" s="1179" t="s">
        <v>89</v>
      </c>
      <c r="U40" s="1169" t="str">
        <f ca="1">OFFSET(U40,0,-1)</f>
        <v>2</v>
      </c>
      <c r="V40" s="1277">
        <f ca="1">OFFSET(V40,0,-1)+1</f>
        <v>3</v>
      </c>
      <c r="W40" s="1277">
        <f ca="1">OFFSET(W40,0,-1)+1</f>
        <v>4</v>
      </c>
      <c r="X40" s="1277">
        <f ca="1">OFFSET(X40,0,-1)+1</f>
        <v>5</v>
      </c>
      <c r="Y40" s="1277">
        <f ca="1">OFFSET(Y40,0,-1)+1</f>
        <v>6</v>
      </c>
      <c r="Z40" s="4044">
        <f ca="1">OFFSET(Z40,0,-1)+1</f>
        <v>7</v>
      </c>
      <c r="AA40" s="4044"/>
      <c r="AB40" s="1277">
        <f ca="1">OFFSET(AB40,0,-2)+1</f>
        <v>8</v>
      </c>
      <c r="AC40" s="1277">
        <f ca="1">OFFSET(AC40,0,-1)+1</f>
        <v>9</v>
      </c>
      <c r="AD40" s="1277">
        <f ca="1">OFFSET(AD40,0,-1)+1</f>
        <v>10</v>
      </c>
      <c r="AE40" s="1277">
        <f ca="1">OFFSET(AE40,0,-1)+1</f>
        <v>11</v>
      </c>
      <c r="AF40" s="1277">
        <f ca="1">OFFSET(AF40,0,-1)+1</f>
        <v>12</v>
      </c>
      <c r="AG40" s="4044">
        <f ca="1">OFFSET(AG40,0,-1)+1</f>
        <v>13</v>
      </c>
      <c r="AH40" s="4044"/>
      <c r="AI40" s="1277">
        <f ca="1">OFFSET(AI40,0,-2)+1</f>
        <v>14</v>
      </c>
      <c r="AJ40" s="1169">
        <f ca="1">OFFSET(AJ40,0,-1)</f>
        <v>14</v>
      </c>
      <c r="AK40" s="1277">
        <f ca="1">OFFSET(AK40,0,-1)+1</f>
        <v>15</v>
      </c>
      <c r="AL40" s="445"/>
      <c r="AM40" s="445"/>
      <c r="AN40" s="445"/>
      <c r="AO40" s="445"/>
      <c r="AP40" s="445"/>
      <c r="AQ40" s="430">
        <v>0</v>
      </c>
    </row>
    <row r="41" spans="1:43" ht="24" customHeight="1">
      <c r="A41" s="1287" t="s">
        <v>434</v>
      </c>
      <c r="B41" s="1287"/>
      <c r="C41" s="1287"/>
      <c r="D41" s="1287"/>
      <c r="E41" s="4033">
        <v>1</v>
      </c>
      <c r="F41" s="1287"/>
      <c r="G41" s="1287"/>
      <c r="H41" s="1287"/>
      <c r="I41" s="1287"/>
      <c r="J41" s="1287"/>
      <c r="K41" s="1287"/>
      <c r="L41" s="1288"/>
      <c r="M41" s="1289"/>
      <c r="N41" s="1289"/>
      <c r="O41" s="1289"/>
      <c r="P41" s="295"/>
      <c r="Q41" s="294"/>
      <c r="R41" s="289"/>
      <c r="S41" s="1282">
        <f>INDEX(PT_DIFFERENTIATION_NUM_NTAR,MATCH(A41,PT_DIFFERENTIATION_NTAR_ID,0))</f>
        <v>0</v>
      </c>
      <c r="T41" s="233" t="s">
        <v>195</v>
      </c>
      <c r="U41" s="235"/>
      <c r="V41" s="4027"/>
      <c r="W41" s="4028"/>
      <c r="X41" s="4028"/>
      <c r="Y41" s="4028"/>
      <c r="Z41" s="4028"/>
      <c r="AA41" s="4028"/>
      <c r="AB41" s="4029"/>
      <c r="AC41" s="4027" t="str">
        <f>INDEX(PT_DIFFERENTIATION_NTAR,MATCH(A41,PT_DIFFERENTIATION_NTAR_ID,0))</f>
        <v/>
      </c>
      <c r="AD41" s="4028"/>
      <c r="AE41" s="4028"/>
      <c r="AF41" s="4028"/>
      <c r="AG41" s="4028"/>
      <c r="AH41" s="4028"/>
      <c r="AI41" s="4028"/>
      <c r="AJ41" s="4029"/>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9">
        <v>23</v>
      </c>
    </row>
    <row r="42" spans="1:43" ht="24" customHeight="1">
      <c r="A42" s="1287" t="s">
        <v>434</v>
      </c>
      <c r="B42" s="1287" t="s">
        <v>435</v>
      </c>
      <c r="C42" s="1287"/>
      <c r="D42" s="1287"/>
      <c r="E42" s="4034"/>
      <c r="F42" s="4033">
        <v>1</v>
      </c>
      <c r="G42" s="1287"/>
      <c r="H42" s="1287"/>
      <c r="I42" s="1287"/>
      <c r="J42" s="1287"/>
      <c r="K42" s="1287"/>
      <c r="L42" s="1288"/>
      <c r="M42" s="1289"/>
      <c r="N42" s="1289"/>
      <c r="O42" s="1289"/>
      <c r="P42" s="1280"/>
      <c r="Q42" s="286"/>
      <c r="R42" s="287"/>
      <c r="S42" s="1282" t="str">
        <f>INDEX(PT_DIFFERENTIATION_NUM_TER,MATCH(B42,PT_DIFFERENTIATION_TER_ID,0))</f>
        <v>.</v>
      </c>
      <c r="T42" s="243" t="s">
        <v>605</v>
      </c>
      <c r="U42" s="235"/>
      <c r="V42" s="4027"/>
      <c r="W42" s="4028"/>
      <c r="X42" s="4028"/>
      <c r="Y42" s="4028"/>
      <c r="Z42" s="4028"/>
      <c r="AA42" s="4028"/>
      <c r="AB42" s="4029"/>
      <c r="AC42" s="4027" t="str">
        <f>INDEX(PT_DIFFERENTIATION_TER,MATCH(B42,PT_DIFFERENTIATION_TER_ID,0))</f>
        <v/>
      </c>
      <c r="AD42" s="4028"/>
      <c r="AE42" s="4028"/>
      <c r="AF42" s="4028"/>
      <c r="AG42" s="4028"/>
      <c r="AH42" s="4028"/>
      <c r="AI42" s="4028"/>
      <c r="AJ42" s="4029"/>
      <c r="AK42" s="1182" t="s">
        <v>606</v>
      </c>
      <c r="AM42" s="434"/>
      <c r="AN42" s="434" t="str">
        <f t="shared" si="1"/>
        <v>Территория действия тарифа</v>
      </c>
      <c r="AO42" s="434"/>
      <c r="AP42" s="434"/>
      <c r="AQ42" s="1079">
        <v>23</v>
      </c>
    </row>
    <row r="43" spans="1:43" ht="24" customHeight="1">
      <c r="A43" s="1287" t="s">
        <v>434</v>
      </c>
      <c r="B43" s="1287" t="s">
        <v>435</v>
      </c>
      <c r="C43" s="1287" t="s">
        <v>436</v>
      </c>
      <c r="D43" s="1287"/>
      <c r="E43" s="4034"/>
      <c r="F43" s="4034"/>
      <c r="G43" s="4033">
        <v>1</v>
      </c>
      <c r="H43" s="1287"/>
      <c r="I43" s="1287"/>
      <c r="J43" s="1287"/>
      <c r="K43" s="1287"/>
      <c r="L43" s="1288"/>
      <c r="M43" s="1289"/>
      <c r="N43" s="1289"/>
      <c r="O43" s="1289"/>
      <c r="P43" s="288"/>
      <c r="Q43" s="286"/>
      <c r="R43" s="287"/>
      <c r="S43" s="1282" t="str">
        <f>INDEX(PT_DIFFERENTIATION_NUM_CS,MATCH(C43,PT_DIFFERENTIATION_CS_ID,0))</f>
        <v>..</v>
      </c>
      <c r="T43" s="244" t="s">
        <v>690</v>
      </c>
      <c r="U43" s="235"/>
      <c r="V43" s="4027"/>
      <c r="W43" s="4028"/>
      <c r="X43" s="4028"/>
      <c r="Y43" s="4028"/>
      <c r="Z43" s="4028"/>
      <c r="AA43" s="4028"/>
      <c r="AB43" s="4029"/>
      <c r="AC43" s="4027" t="str">
        <f>INDEX(PT_DIFFERENTIATION_CS,MATCH(C43,PT_DIFFERENTIATION_CS_ID,0))</f>
        <v/>
      </c>
      <c r="AD43" s="4028"/>
      <c r="AE43" s="4028"/>
      <c r="AF43" s="4028"/>
      <c r="AG43" s="4028"/>
      <c r="AH43" s="4028"/>
      <c r="AI43" s="4028"/>
      <c r="AJ43" s="4029"/>
      <c r="AK43" s="1182" t="s">
        <v>691</v>
      </c>
      <c r="AM43" s="434"/>
      <c r="AN43" s="434" t="str">
        <f t="shared" si="1"/>
        <v>Наименование централизованной системы холодного водоснабжения</v>
      </c>
      <c r="AO43" s="434"/>
      <c r="AP43" s="434"/>
      <c r="AQ43" s="1079">
        <v>23</v>
      </c>
    </row>
    <row r="44" spans="1:43" ht="24" customHeight="1">
      <c r="A44" s="1287" t="s">
        <v>434</v>
      </c>
      <c r="B44" s="1287" t="s">
        <v>435</v>
      </c>
      <c r="C44" s="1287" t="s">
        <v>436</v>
      </c>
      <c r="D44" s="1287" t="s">
        <v>704</v>
      </c>
      <c r="E44" s="4034"/>
      <c r="F44" s="4034"/>
      <c r="G44" s="4034"/>
      <c r="H44" s="4034"/>
      <c r="I44" s="4035" t="str">
        <f>S43&amp;".1"</f>
        <v>...1</v>
      </c>
      <c r="J44" s="1287"/>
      <c r="K44" s="1287"/>
      <c r="L44" s="1288"/>
      <c r="P44" s="4037">
        <v>1</v>
      </c>
      <c r="Q44" s="1278"/>
      <c r="R44" s="290"/>
      <c r="S44" s="1282" t="str">
        <f>$I44</f>
        <v>...1</v>
      </c>
      <c r="T44" s="220" t="s">
        <v>692</v>
      </c>
      <c r="U44" s="235"/>
      <c r="V44" s="4101"/>
      <c r="W44" s="4102"/>
      <c r="X44" s="4102"/>
      <c r="Y44" s="4102"/>
      <c r="Z44" s="4102"/>
      <c r="AA44" s="4102"/>
      <c r="AB44" s="4103"/>
      <c r="AC44" s="4104"/>
      <c r="AD44" s="4105"/>
      <c r="AE44" s="4105"/>
      <c r="AF44" s="4105"/>
      <c r="AG44" s="4105"/>
      <c r="AH44" s="4105"/>
      <c r="AI44" s="4105"/>
      <c r="AJ44" s="4106"/>
      <c r="AK44" s="1182" t="s">
        <v>693</v>
      </c>
      <c r="AM44" s="434"/>
      <c r="AN44" s="434" t="str">
        <f t="shared" si="1"/>
        <v>Наименование признака дифференциации</v>
      </c>
      <c r="AO44" s="434"/>
      <c r="AP44" s="434"/>
      <c r="AQ44" s="1079">
        <v>23</v>
      </c>
    </row>
    <row r="45" spans="1:43" ht="24" customHeight="1">
      <c r="A45" s="1287" t="s">
        <v>434</v>
      </c>
      <c r="B45" s="1287" t="s">
        <v>435</v>
      </c>
      <c r="C45" s="1287" t="s">
        <v>436</v>
      </c>
      <c r="D45" s="1287" t="s">
        <v>704</v>
      </c>
      <c r="E45" s="4034"/>
      <c r="F45" s="4034"/>
      <c r="G45" s="4034"/>
      <c r="H45" s="4034"/>
      <c r="I45" s="4036"/>
      <c r="J45" s="4035" t="str">
        <f>I44&amp;".1"</f>
        <v>...1.1</v>
      </c>
      <c r="K45" s="1287"/>
      <c r="L45" s="1288" t="s">
        <v>614</v>
      </c>
      <c r="P45" s="4037"/>
      <c r="Q45" s="4037">
        <v>1</v>
      </c>
      <c r="R45" s="291"/>
      <c r="S45" s="1282" t="str">
        <f>$J45</f>
        <v>...1.1</v>
      </c>
      <c r="T45" s="221" t="s">
        <v>615</v>
      </c>
      <c r="U45" s="235"/>
      <c r="V45" s="4021"/>
      <c r="W45" s="4022"/>
      <c r="X45" s="4022"/>
      <c r="Y45" s="4022"/>
      <c r="Z45" s="4022"/>
      <c r="AA45" s="4022"/>
      <c r="AB45" s="4023"/>
      <c r="AC45" s="4021"/>
      <c r="AD45" s="4022"/>
      <c r="AE45" s="4022"/>
      <c r="AF45" s="4022"/>
      <c r="AG45" s="4022"/>
      <c r="AH45" s="4022"/>
      <c r="AI45" s="4022"/>
      <c r="AJ45" s="4023"/>
      <c r="AK45" s="1231" t="s">
        <v>694</v>
      </c>
      <c r="AM45" s="434"/>
      <c r="AN45" s="434" t="str">
        <f t="shared" si="1"/>
        <v>Группа потребителей</v>
      </c>
      <c r="AO45" s="434"/>
      <c r="AP45" s="434"/>
      <c r="AQ45" s="1079">
        <v>23</v>
      </c>
    </row>
    <row r="46" spans="1:43" ht="24" customHeight="1">
      <c r="A46" s="1287" t="s">
        <v>434</v>
      </c>
      <c r="B46" s="1287" t="s">
        <v>435</v>
      </c>
      <c r="C46" s="1287" t="s">
        <v>436</v>
      </c>
      <c r="D46" s="1287" t="s">
        <v>704</v>
      </c>
      <c r="E46" s="4034"/>
      <c r="F46" s="4034"/>
      <c r="G46" s="4034"/>
      <c r="H46" s="4034"/>
      <c r="I46" s="4036"/>
      <c r="J46" s="4036"/>
      <c r="K46" s="4035" t="str">
        <f>J45&amp;".1"</f>
        <v>...1.1.1</v>
      </c>
      <c r="L46" s="1288"/>
      <c r="P46" s="4037"/>
      <c r="Q46" s="4037"/>
      <c r="R46" s="291">
        <v>1</v>
      </c>
      <c r="S46" s="1282" t="str">
        <f>$K46</f>
        <v>...1.1.1</v>
      </c>
      <c r="T46" s="1361"/>
      <c r="U46" s="235"/>
      <c r="V46" s="1284"/>
      <c r="W46" s="1284"/>
      <c r="X46" s="1285"/>
      <c r="Y46" s="4031"/>
      <c r="Z46" s="4030" t="s">
        <v>53</v>
      </c>
      <c r="AA46" s="4031"/>
      <c r="AB46" s="4030" t="s">
        <v>53</v>
      </c>
      <c r="AC46" s="685"/>
      <c r="AD46" s="685"/>
      <c r="AE46" s="1181"/>
      <c r="AF46" s="4038"/>
      <c r="AG46" s="3899" t="s">
        <v>53</v>
      </c>
      <c r="AH46" s="4040"/>
      <c r="AI46" s="3899" t="s">
        <v>6</v>
      </c>
      <c r="AJ46" s="1362"/>
      <c r="AK46"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9">
        <v>23</v>
      </c>
    </row>
    <row r="47" spans="1:43" ht="0" hidden="1" customHeight="1">
      <c r="A47" s="1287" t="s">
        <v>434</v>
      </c>
      <c r="B47" s="1287" t="s">
        <v>435</v>
      </c>
      <c r="C47" s="1287" t="s">
        <v>436</v>
      </c>
      <c r="D47" s="1287" t="s">
        <v>704</v>
      </c>
      <c r="E47" s="4034"/>
      <c r="F47" s="4034"/>
      <c r="G47" s="4034"/>
      <c r="H47" s="4034"/>
      <c r="I47" s="4036"/>
      <c r="J47" s="4036"/>
      <c r="K47" s="4035"/>
      <c r="L47" s="1288"/>
      <c r="P47" s="4037"/>
      <c r="Q47" s="4037"/>
      <c r="R47" s="291"/>
      <c r="S47" s="1283"/>
      <c r="T47" s="235"/>
      <c r="U47" s="235"/>
      <c r="V47" s="1284"/>
      <c r="W47" s="1284"/>
      <c r="X47" s="263" t="str">
        <f>Y46&amp;"-"&amp;AA46</f>
        <v>-</v>
      </c>
      <c r="Y47" s="4030"/>
      <c r="Z47" s="4030"/>
      <c r="AA47" s="4030"/>
      <c r="AB47" s="4030"/>
      <c r="AC47" s="260"/>
      <c r="AD47" s="260"/>
      <c r="AE47" s="263" t="str">
        <f>AF46&amp;"-"&amp;AH46</f>
        <v>-</v>
      </c>
      <c r="AF47" s="4039"/>
      <c r="AG47" s="3899"/>
      <c r="AH47" s="4041"/>
      <c r="AI47" s="3899"/>
      <c r="AJ47" s="1363"/>
      <c r="AK47" s="4107"/>
      <c r="AM47" s="434"/>
      <c r="AN47" s="434" t="str">
        <f t="shared" si="1"/>
        <v/>
      </c>
      <c r="AO47" s="434"/>
      <c r="AP47" s="434"/>
      <c r="AQ47" s="1079">
        <v>0</v>
      </c>
    </row>
    <row r="48" spans="1:43" ht="21" customHeight="1">
      <c r="A48" s="1287" t="s">
        <v>434</v>
      </c>
      <c r="B48" s="1287" t="s">
        <v>435</v>
      </c>
      <c r="C48" s="1287" t="s">
        <v>436</v>
      </c>
      <c r="D48" s="1287" t="s">
        <v>704</v>
      </c>
      <c r="E48" s="4034"/>
      <c r="F48" s="4034"/>
      <c r="G48" s="4034"/>
      <c r="H48" s="4034"/>
      <c r="I48" s="4036"/>
      <c r="J48" s="4035"/>
      <c r="K48" s="1287"/>
      <c r="L48" s="1288"/>
      <c r="P48" s="4037"/>
      <c r="Q48" s="4037"/>
      <c r="R48" s="290"/>
      <c r="S48" s="1202"/>
      <c r="T48" s="222" t="s">
        <v>695</v>
      </c>
      <c r="U48" s="301"/>
      <c r="V48" s="301"/>
      <c r="W48" s="301"/>
      <c r="X48" s="301"/>
      <c r="Y48" s="301"/>
      <c r="Z48" s="301"/>
      <c r="AA48" s="301"/>
      <c r="AB48" s="301"/>
      <c r="AC48" s="301"/>
      <c r="AD48" s="301"/>
      <c r="AE48" s="301"/>
      <c r="AF48" s="301"/>
      <c r="AG48" s="301"/>
      <c r="AH48" s="301"/>
      <c r="AI48" s="301"/>
      <c r="AJ48" s="301"/>
      <c r="AK48" s="1182" t="s">
        <v>696</v>
      </c>
      <c r="AM48" s="434"/>
      <c r="AN48" s="434" t="str">
        <f t="shared" si="1"/>
        <v>Добавить значение признака дифференциации</v>
      </c>
      <c r="AO48" s="434"/>
      <c r="AP48" s="434"/>
      <c r="AQ48" s="1079">
        <v>20</v>
      </c>
    </row>
    <row r="49" spans="1:43" ht="21.95" customHeight="1">
      <c r="A49" s="1287" t="s">
        <v>434</v>
      </c>
      <c r="B49" s="1287" t="s">
        <v>435</v>
      </c>
      <c r="C49" s="1287" t="s">
        <v>436</v>
      </c>
      <c r="D49" s="1287" t="s">
        <v>704</v>
      </c>
      <c r="E49" s="4034"/>
      <c r="F49" s="4034"/>
      <c r="G49" s="4034"/>
      <c r="H49" s="4034"/>
      <c r="I49" s="4035"/>
      <c r="J49" s="1287"/>
      <c r="K49" s="1287"/>
      <c r="L49" s="1288"/>
      <c r="P49" s="4037"/>
      <c r="Q49" s="1278"/>
      <c r="R49" s="290"/>
      <c r="S49" s="1202"/>
      <c r="T49" s="299" t="s">
        <v>620</v>
      </c>
      <c r="U49" s="301"/>
      <c r="V49" s="301"/>
      <c r="W49" s="301"/>
      <c r="X49" s="301"/>
      <c r="Y49" s="301"/>
      <c r="Z49" s="301"/>
      <c r="AA49" s="301"/>
      <c r="AB49" s="300"/>
      <c r="AC49" s="301"/>
      <c r="AD49" s="301"/>
      <c r="AE49" s="301"/>
      <c r="AF49" s="301"/>
      <c r="AG49" s="301"/>
      <c r="AH49" s="301"/>
      <c r="AI49" s="300"/>
      <c r="AJ49" s="301"/>
      <c r="AK49" s="1364"/>
      <c r="AM49" s="434"/>
      <c r="AN49" s="434" t="str">
        <f t="shared" si="1"/>
        <v>Добавить группу потребителей</v>
      </c>
      <c r="AO49" s="434"/>
      <c r="AP49" s="434"/>
      <c r="AQ49" s="1079">
        <v>21</v>
      </c>
    </row>
    <row r="50" spans="1:43" ht="21.95" customHeight="1">
      <c r="A50" s="1287" t="s">
        <v>434</v>
      </c>
      <c r="B50" s="1287" t="s">
        <v>435</v>
      </c>
      <c r="C50" s="1287" t="s">
        <v>436</v>
      </c>
      <c r="D50" s="1287" t="s">
        <v>704</v>
      </c>
      <c r="E50" s="4034"/>
      <c r="F50" s="4034"/>
      <c r="G50" s="4034"/>
      <c r="H50" s="4033"/>
      <c r="I50" s="1287"/>
      <c r="J50" s="1287"/>
      <c r="K50" s="1287"/>
      <c r="L50" s="1288"/>
      <c r="M50" s="1289"/>
      <c r="N50" s="1289"/>
      <c r="O50" s="471"/>
      <c r="P50" s="294"/>
      <c r="Q50" s="309"/>
      <c r="R50" s="289"/>
      <c r="S50" s="1202"/>
      <c r="T50" s="306" t="s">
        <v>697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9">
        <v>21</v>
      </c>
    </row>
    <row r="51" spans="1:43" s="1566" customFormat="1" ht="0" hidden="1" customHeight="1">
      <c r="A51" s="1267" t="s">
        <v>434</v>
      </c>
      <c r="B51" s="1267" t="s">
        <v>435</v>
      </c>
      <c r="C51" s="1238"/>
      <c r="D51" s="1238"/>
      <c r="E51" s="4034"/>
      <c r="F51" s="4033"/>
      <c r="G51" s="1238"/>
      <c r="H51" s="1238"/>
      <c r="I51" s="1238"/>
      <c r="J51" s="1238"/>
      <c r="K51" s="1238"/>
      <c r="L51" s="1350"/>
      <c r="M51" s="1245"/>
      <c r="N51" s="1245"/>
      <c r="P51" s="1240"/>
      <c r="Q51" s="1241"/>
      <c r="R51" s="1240"/>
      <c r="S51" s="1246"/>
      <c r="T51" s="1249" t="s">
        <v>236</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2">
        <v>0</v>
      </c>
    </row>
    <row r="52" spans="1:43" s="1566" customFormat="1" ht="0" hidden="1" customHeight="1">
      <c r="A52" s="1267" t="s">
        <v>434</v>
      </c>
      <c r="B52" s="1267"/>
      <c r="C52" s="1267"/>
      <c r="D52" s="1267"/>
      <c r="E52" s="4033"/>
      <c r="F52" s="1267"/>
      <c r="G52" s="1267"/>
      <c r="H52" s="1267"/>
      <c r="I52" s="1267"/>
      <c r="J52" s="1267"/>
      <c r="K52" s="1267"/>
      <c r="L52" s="1270"/>
      <c r="M52" s="1245"/>
      <c r="N52" s="1245"/>
      <c r="O52" s="452"/>
      <c r="P52" s="314"/>
      <c r="Q52" s="1268"/>
      <c r="R52" s="314"/>
      <c r="S52" s="1246"/>
      <c r="T52" s="1249" t="s">
        <v>286</v>
      </c>
      <c r="U52" s="1248"/>
      <c r="V52" s="1248"/>
      <c r="W52" s="1248"/>
      <c r="X52" s="1248"/>
      <c r="Y52" s="1248"/>
      <c r="Z52" s="1248"/>
      <c r="AA52" s="1248"/>
      <c r="AB52" s="1248"/>
      <c r="AC52" s="1248"/>
      <c r="AD52" s="1248"/>
      <c r="AE52" s="1248"/>
      <c r="AF52" s="1248"/>
      <c r="AG52" s="1248"/>
      <c r="AH52" s="1248"/>
      <c r="AI52" s="1248"/>
      <c r="AJ52" s="1248"/>
      <c r="AK52" s="1248"/>
      <c r="AM52" s="434"/>
      <c r="AN52" s="434" t="str">
        <f t="shared" si="1"/>
        <v>Добавить территорию для дифференциации</v>
      </c>
      <c r="AO52" s="434"/>
      <c r="AP52" s="434"/>
      <c r="AQ52" s="445">
        <v>0</v>
      </c>
    </row>
    <row r="53" spans="1:43" s="1566" customFormat="1" ht="0" hidden="1" customHeight="1">
      <c r="A53" s="1238"/>
      <c r="B53" s="1238"/>
      <c r="C53" s="1238"/>
      <c r="D53" s="1238"/>
      <c r="E53" s="1267"/>
      <c r="F53" s="1238"/>
      <c r="G53" s="1238"/>
      <c r="H53" s="1238"/>
      <c r="I53" s="1238"/>
      <c r="J53" s="1238"/>
      <c r="K53" s="1238"/>
      <c r="L53" s="1350"/>
      <c r="M53" s="1245"/>
      <c r="N53" s="1245"/>
      <c r="P53" s="1240"/>
      <c r="Q53" s="1241"/>
      <c r="R53" s="1240"/>
      <c r="S53" s="1246"/>
      <c r="T53" s="1249" t="s">
        <v>287</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2">
        <v>0</v>
      </c>
    </row>
    <row r="54" spans="1:43" ht="11.45" customHeight="1">
      <c r="M54" s="1084"/>
      <c r="N54" s="1084"/>
      <c r="O54" s="471"/>
      <c r="P54" s="1079"/>
      <c r="Q54" s="1079"/>
      <c r="R54" s="1079"/>
      <c r="S54" s="1079"/>
      <c r="AL54" s="1079"/>
      <c r="AM54" s="1079"/>
      <c r="AN54" s="1079"/>
      <c r="AO54" s="1079"/>
      <c r="AP54" s="1079"/>
      <c r="AQ54" s="1079">
        <v>11</v>
      </c>
    </row>
    <row r="55" spans="1:43" ht="14.65" customHeight="1">
      <c r="O55" s="471"/>
      <c r="S55" s="1177"/>
      <c r="T55" s="4032"/>
      <c r="U55" s="4032"/>
      <c r="V55" s="4032"/>
      <c r="W55" s="4032"/>
      <c r="X55" s="4032"/>
      <c r="Y55" s="4032"/>
      <c r="Z55" s="4032"/>
      <c r="AA55" s="4032"/>
      <c r="AB55" s="4032"/>
      <c r="AC55" s="4032"/>
      <c r="AD55" s="4032"/>
      <c r="AE55" s="4032"/>
      <c r="AF55" s="4032"/>
      <c r="AG55" s="4032"/>
      <c r="AH55" s="4032"/>
      <c r="AI55" s="4032"/>
      <c r="AJ55" s="4032"/>
      <c r="AK55" s="4032"/>
      <c r="AQ55" s="1079">
        <v>14</v>
      </c>
    </row>
    <row r="56" spans="1:43" ht="14.65" customHeight="1">
      <c r="O56" s="471"/>
      <c r="AQ56" s="1079">
        <v>14</v>
      </c>
    </row>
    <row r="57" spans="1:43" ht="14.65" customHeight="1">
      <c r="O57" s="471"/>
      <c r="S57" s="1177"/>
      <c r="T57" s="4032"/>
      <c r="U57" s="4032"/>
      <c r="V57" s="4032"/>
      <c r="W57" s="4032"/>
      <c r="X57" s="4032"/>
      <c r="Y57" s="4032"/>
      <c r="Z57" s="4032"/>
      <c r="AA57" s="4032"/>
      <c r="AB57" s="4032"/>
      <c r="AC57" s="4032"/>
      <c r="AD57" s="4032"/>
      <c r="AE57" s="4032"/>
      <c r="AF57" s="4032"/>
      <c r="AG57" s="4032"/>
      <c r="AH57" s="4032"/>
      <c r="AI57" s="4032"/>
      <c r="AJ57" s="4032"/>
      <c r="AK57" s="4032"/>
      <c r="AQ57" s="1079">
        <v>14</v>
      </c>
    </row>
    <row r="58" spans="1:43" ht="22.5" hidden="1" customHeight="1">
      <c r="A58" s="1084" t="s">
        <v>69</v>
      </c>
      <c r="B58" s="1084">
        <v>0</v>
      </c>
      <c r="C58" s="1084">
        <v>0</v>
      </c>
      <c r="D58" s="1084">
        <v>0</v>
      </c>
      <c r="E58" s="1084">
        <v>0</v>
      </c>
      <c r="F58" s="1084">
        <v>0</v>
      </c>
      <c r="G58" s="1084">
        <v>0</v>
      </c>
      <c r="H58" s="1084">
        <v>0</v>
      </c>
      <c r="I58" s="1084">
        <v>0</v>
      </c>
      <c r="J58" s="1084">
        <v>0</v>
      </c>
      <c r="K58" s="1084">
        <v>0</v>
      </c>
      <c r="L58" s="1345">
        <v>0</v>
      </c>
      <c r="M58" s="1286">
        <v>0</v>
      </c>
      <c r="N58" s="1286">
        <v>0</v>
      </c>
      <c r="O58" s="1286">
        <v>0</v>
      </c>
      <c r="P58" s="1275">
        <v>3</v>
      </c>
      <c r="Q58" s="279">
        <v>3</v>
      </c>
      <c r="R58" s="279">
        <v>3</v>
      </c>
      <c r="S58" s="515">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5">
        <v>10</v>
      </c>
      <c r="AM58" s="445">
        <v>10</v>
      </c>
      <c r="AN58" s="445">
        <v>10</v>
      </c>
      <c r="AO58" s="445">
        <v>10</v>
      </c>
      <c r="AP58" s="445">
        <v>10</v>
      </c>
      <c r="AQ58" s="1079">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4033">
        <v>1</v>
      </c>
      <c r="F2" s="1287"/>
      <c r="G2" s="1287"/>
      <c r="H2" s="1287"/>
      <c r="I2" s="1287"/>
      <c r="J2" s="1287"/>
      <c r="K2" s="1287"/>
      <c r="L2" s="1288"/>
      <c r="M2" s="1289"/>
      <c r="N2" s="1289"/>
      <c r="O2" s="1289"/>
      <c r="P2" s="295"/>
      <c r="Q2" s="294"/>
      <c r="R2" s="289"/>
      <c r="S2" s="1381" t="e">
        <f>INDEX(PT_DIFFERENTIATION_NUM_NTAR,MATCH(A2,PT_DIFFERENTIATION_NTAR_ID,0))</f>
        <v>#N/A</v>
      </c>
      <c r="T2" s="233" t="s">
        <v>195</v>
      </c>
      <c r="U2" s="235"/>
      <c r="V2" s="4027"/>
      <c r="W2" s="4028"/>
      <c r="X2" s="4028"/>
      <c r="Y2" s="4028"/>
      <c r="Z2" s="4028"/>
      <c r="AA2" s="4028"/>
      <c r="AB2" s="4029"/>
      <c r="AC2" s="4027" t="e">
        <f>INDEX(PT_DIFFERENTIATION_NTAR,MATCH(A2,PT_DIFFERENTIATION_NTAR_ID,0))</f>
        <v>#N/A</v>
      </c>
      <c r="AD2" s="4028"/>
      <c r="AE2" s="4028"/>
      <c r="AF2" s="4028"/>
      <c r="AG2" s="4028"/>
      <c r="AH2" s="4028"/>
      <c r="AI2" s="4028"/>
      <c r="AJ2" s="4029"/>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9">
        <v>0</v>
      </c>
    </row>
    <row r="3" spans="1:43" ht="23.25" hidden="1" customHeight="1">
      <c r="A3" s="1287"/>
      <c r="B3" s="1287"/>
      <c r="C3" s="1287"/>
      <c r="D3" s="1287"/>
      <c r="E3" s="4034"/>
      <c r="F3" s="4033">
        <v>1</v>
      </c>
      <c r="G3" s="1287"/>
      <c r="H3" s="1287"/>
      <c r="I3" s="1287"/>
      <c r="J3" s="1287"/>
      <c r="K3" s="1287"/>
      <c r="L3" s="1288"/>
      <c r="M3" s="1289"/>
      <c r="N3" s="1289"/>
      <c r="O3" s="1289"/>
      <c r="P3" s="1377"/>
      <c r="Q3" s="286"/>
      <c r="R3" s="287"/>
      <c r="S3" s="1381" t="e">
        <f>INDEX(PT_DIFFERENTIATION_NUM_TER,MATCH(B3,PT_DIFFERENTIATION_TER_ID,0))</f>
        <v>#N/A</v>
      </c>
      <c r="T3" s="243" t="s">
        <v>605</v>
      </c>
      <c r="U3" s="235"/>
      <c r="V3" s="4027"/>
      <c r="W3" s="4028"/>
      <c r="X3" s="4028"/>
      <c r="Y3" s="4028"/>
      <c r="Z3" s="4028"/>
      <c r="AA3" s="4028"/>
      <c r="AB3" s="4029"/>
      <c r="AC3" s="4027" t="e">
        <f>INDEX(PT_DIFFERENTIATION_TER,MATCH(B3,PT_DIFFERENTIATION_TER_ID,0))</f>
        <v>#N/A</v>
      </c>
      <c r="AD3" s="4028"/>
      <c r="AE3" s="4028"/>
      <c r="AF3" s="4028"/>
      <c r="AG3" s="4028"/>
      <c r="AH3" s="4028"/>
      <c r="AI3" s="4028"/>
      <c r="AJ3" s="4029"/>
      <c r="AK3" s="1182" t="s">
        <v>606</v>
      </c>
      <c r="AM3" s="434"/>
      <c r="AN3" s="434" t="str">
        <f t="shared" si="0"/>
        <v>Территория действия тарифа</v>
      </c>
      <c r="AO3" s="434"/>
      <c r="AP3" s="434"/>
      <c r="AQ3" s="1079">
        <v>0</v>
      </c>
    </row>
    <row r="4" spans="1:43" ht="23.25" hidden="1" customHeight="1">
      <c r="A4" s="1287"/>
      <c r="B4" s="1287"/>
      <c r="C4" s="1287"/>
      <c r="D4" s="1287"/>
      <c r="E4" s="4034"/>
      <c r="F4" s="4034"/>
      <c r="G4" s="4033">
        <v>1</v>
      </c>
      <c r="H4" s="1287"/>
      <c r="I4" s="1287"/>
      <c r="J4" s="1287"/>
      <c r="K4" s="1287"/>
      <c r="L4" s="1288"/>
      <c r="M4" s="1289"/>
      <c r="N4" s="1289"/>
      <c r="O4" s="1289"/>
      <c r="P4" s="288"/>
      <c r="Q4" s="286"/>
      <c r="R4" s="287"/>
      <c r="S4" s="1381" t="e">
        <f>INDEX(PT_DIFFERENTIATION_NUM_CS,MATCH(C4,PT_DIFFERENTIATION_CS_ID,0))</f>
        <v>#N/A</v>
      </c>
      <c r="T4" s="244" t="s">
        <v>690</v>
      </c>
      <c r="U4" s="235"/>
      <c r="V4" s="4027"/>
      <c r="W4" s="4028"/>
      <c r="X4" s="4028"/>
      <c r="Y4" s="4028"/>
      <c r="Z4" s="4028"/>
      <c r="AA4" s="4028"/>
      <c r="AB4" s="4029"/>
      <c r="AC4" s="4027" t="e">
        <f>INDEX(PT_DIFFERENTIATION_CS,MATCH(C4,PT_DIFFERENTIATION_CS_ID,0))</f>
        <v>#N/A</v>
      </c>
      <c r="AD4" s="4028"/>
      <c r="AE4" s="4028"/>
      <c r="AF4" s="4028"/>
      <c r="AG4" s="4028"/>
      <c r="AH4" s="4028"/>
      <c r="AI4" s="4028"/>
      <c r="AJ4" s="4029"/>
      <c r="AK4" s="1182" t="s">
        <v>691</v>
      </c>
      <c r="AM4" s="434"/>
      <c r="AN4" s="434" t="str">
        <f t="shared" si="0"/>
        <v>Наименование централизованной системы холодного водоснабжения</v>
      </c>
      <c r="AO4" s="434"/>
      <c r="AP4" s="434"/>
      <c r="AQ4" s="1079">
        <v>0</v>
      </c>
    </row>
    <row r="5" spans="1:43" ht="23.25" hidden="1" customHeight="1">
      <c r="A5" s="1287"/>
      <c r="B5" s="1287"/>
      <c r="C5" s="1287"/>
      <c r="D5" s="1287"/>
      <c r="E5" s="4034"/>
      <c r="F5" s="4034"/>
      <c r="G5" s="4034"/>
      <c r="H5" s="4034"/>
      <c r="I5" s="4035" t="e">
        <f>S4&amp;".1"</f>
        <v>#N/A</v>
      </c>
      <c r="J5" s="1287"/>
      <c r="K5" s="1287"/>
      <c r="L5" s="1288"/>
      <c r="P5" s="4037">
        <v>1</v>
      </c>
      <c r="Q5" s="1374"/>
      <c r="R5" s="290"/>
      <c r="S5" s="1381" t="e">
        <f>$I5</f>
        <v>#N/A</v>
      </c>
      <c r="T5" s="220" t="s">
        <v>692</v>
      </c>
      <c r="U5" s="235"/>
      <c r="V5" s="4101"/>
      <c r="W5" s="4102"/>
      <c r="X5" s="4102"/>
      <c r="Y5" s="4102"/>
      <c r="Z5" s="4102"/>
      <c r="AA5" s="4102"/>
      <c r="AB5" s="4103"/>
      <c r="AC5" s="4104"/>
      <c r="AD5" s="4105"/>
      <c r="AE5" s="4105"/>
      <c r="AF5" s="4105"/>
      <c r="AG5" s="4105"/>
      <c r="AH5" s="4105"/>
      <c r="AI5" s="4105"/>
      <c r="AJ5" s="4106"/>
      <c r="AK5" s="1182" t="s">
        <v>693</v>
      </c>
      <c r="AM5" s="434"/>
      <c r="AN5" s="434" t="str">
        <f t="shared" si="0"/>
        <v>Наименование признака дифференциации</v>
      </c>
      <c r="AO5" s="434"/>
      <c r="AP5" s="434"/>
      <c r="AQ5" s="1079">
        <v>0</v>
      </c>
    </row>
    <row r="6" spans="1:43" ht="23.25" hidden="1" customHeight="1">
      <c r="A6" s="1287"/>
      <c r="B6" s="1287"/>
      <c r="C6" s="1287"/>
      <c r="D6" s="1287"/>
      <c r="E6" s="4034"/>
      <c r="F6" s="4034"/>
      <c r="G6" s="4034"/>
      <c r="H6" s="4034"/>
      <c r="I6" s="4036"/>
      <c r="J6" s="4035" t="e">
        <f>I5&amp;".1"</f>
        <v>#N/A</v>
      </c>
      <c r="K6" s="1287"/>
      <c r="L6" s="1288" t="s">
        <v>614</v>
      </c>
      <c r="P6" s="4037"/>
      <c r="Q6" s="4037">
        <v>1</v>
      </c>
      <c r="R6" s="291"/>
      <c r="S6" s="1381" t="e">
        <f>$J6</f>
        <v>#N/A</v>
      </c>
      <c r="T6" s="221" t="s">
        <v>615</v>
      </c>
      <c r="U6" s="235"/>
      <c r="V6" s="4021"/>
      <c r="W6" s="4022"/>
      <c r="X6" s="4022"/>
      <c r="Y6" s="4022"/>
      <c r="Z6" s="4022"/>
      <c r="AA6" s="4022"/>
      <c r="AB6" s="4023"/>
      <c r="AC6" s="4021"/>
      <c r="AD6" s="4022"/>
      <c r="AE6" s="4022"/>
      <c r="AF6" s="4022"/>
      <c r="AG6" s="4022"/>
      <c r="AH6" s="4022"/>
      <c r="AI6" s="4022"/>
      <c r="AJ6" s="4023"/>
      <c r="AK6" s="1231" t="s">
        <v>694</v>
      </c>
      <c r="AM6" s="434"/>
      <c r="AN6" s="434" t="str">
        <f t="shared" si="0"/>
        <v>Группа потребителей</v>
      </c>
      <c r="AO6" s="434"/>
      <c r="AP6" s="434"/>
      <c r="AQ6" s="1079">
        <v>0</v>
      </c>
    </row>
    <row r="7" spans="1:43" ht="23.25" hidden="1" customHeight="1">
      <c r="A7" s="1287"/>
      <c r="B7" s="1287"/>
      <c r="C7" s="1287"/>
      <c r="D7" s="1287"/>
      <c r="E7" s="4034"/>
      <c r="F7" s="4034"/>
      <c r="G7" s="4034"/>
      <c r="H7" s="4034"/>
      <c r="I7" s="4036"/>
      <c r="J7" s="4036"/>
      <c r="K7" s="4035" t="e">
        <f>J6&amp;".1"</f>
        <v>#N/A</v>
      </c>
      <c r="L7" s="1288"/>
      <c r="P7" s="4037"/>
      <c r="Q7" s="4037"/>
      <c r="R7" s="291">
        <v>1</v>
      </c>
      <c r="S7" s="1381" t="e">
        <f>$K7</f>
        <v>#N/A</v>
      </c>
      <c r="T7" s="1361"/>
      <c r="U7" s="235"/>
      <c r="V7" s="685"/>
      <c r="W7" s="685"/>
      <c r="X7" s="1181"/>
      <c r="Y7" s="4038"/>
      <c r="Z7" s="3899" t="s">
        <v>53</v>
      </c>
      <c r="AA7" s="4038"/>
      <c r="AB7" s="3899" t="s">
        <v>53</v>
      </c>
      <c r="AC7" s="685"/>
      <c r="AD7" s="685"/>
      <c r="AE7" s="1181"/>
      <c r="AF7" s="4038"/>
      <c r="AG7" s="3899" t="s">
        <v>53</v>
      </c>
      <c r="AH7" s="4040"/>
      <c r="AI7" s="3899" t="s">
        <v>53</v>
      </c>
      <c r="AJ7" s="1362"/>
      <c r="AK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9">
        <v>0</v>
      </c>
    </row>
    <row r="8" spans="1:43" ht="14.25" hidden="1" customHeight="1">
      <c r="A8" s="1287"/>
      <c r="B8" s="1287"/>
      <c r="C8" s="1287"/>
      <c r="D8" s="1287"/>
      <c r="E8" s="4034"/>
      <c r="F8" s="4034"/>
      <c r="G8" s="4034"/>
      <c r="H8" s="4034"/>
      <c r="I8" s="4036"/>
      <c r="J8" s="4036"/>
      <c r="K8" s="4035"/>
      <c r="L8" s="1288"/>
      <c r="P8" s="4037"/>
      <c r="Q8" s="4037"/>
      <c r="R8" s="291"/>
      <c r="S8" s="1380"/>
      <c r="T8" s="235"/>
      <c r="U8" s="235"/>
      <c r="V8" s="260"/>
      <c r="W8" s="260"/>
      <c r="X8" s="263" t="str">
        <f>Y7&amp;"-"&amp;AA7</f>
        <v>-</v>
      </c>
      <c r="Y8" s="4039"/>
      <c r="Z8" s="3899"/>
      <c r="AA8" s="4039"/>
      <c r="AB8" s="3899"/>
      <c r="AC8" s="260"/>
      <c r="AD8" s="260"/>
      <c r="AE8" s="263" t="str">
        <f>AF7&amp;"-"&amp;AH7</f>
        <v>-</v>
      </c>
      <c r="AF8" s="4039"/>
      <c r="AG8" s="3899"/>
      <c r="AH8" s="4041"/>
      <c r="AI8" s="3899"/>
      <c r="AJ8" s="1363"/>
      <c r="AK8" s="4107"/>
      <c r="AM8" s="434"/>
      <c r="AN8" s="434" t="str">
        <f t="shared" si="0"/>
        <v/>
      </c>
      <c r="AO8" s="434"/>
      <c r="AP8" s="434"/>
      <c r="AQ8" s="1079">
        <v>0</v>
      </c>
    </row>
    <row r="9" spans="1:43" ht="21" hidden="1" customHeight="1">
      <c r="A9" s="1287"/>
      <c r="B9" s="1287"/>
      <c r="C9" s="1287"/>
      <c r="D9" s="1287"/>
      <c r="E9" s="4034"/>
      <c r="F9" s="4034"/>
      <c r="G9" s="4034"/>
      <c r="H9" s="4034"/>
      <c r="I9" s="4036"/>
      <c r="J9" s="4035"/>
      <c r="K9" s="1287"/>
      <c r="L9" s="1288"/>
      <c r="P9" s="4037"/>
      <c r="Q9" s="4037"/>
      <c r="R9" s="290"/>
      <c r="S9" s="1202"/>
      <c r="T9" s="222" t="s">
        <v>695</v>
      </c>
      <c r="U9" s="301"/>
      <c r="V9" s="301"/>
      <c r="W9" s="301"/>
      <c r="X9" s="301"/>
      <c r="Y9" s="301"/>
      <c r="Z9" s="301"/>
      <c r="AA9" s="301"/>
      <c r="AB9" s="301"/>
      <c r="AC9" s="301"/>
      <c r="AD9" s="301"/>
      <c r="AE9" s="301"/>
      <c r="AF9" s="301"/>
      <c r="AG9" s="301"/>
      <c r="AH9" s="301"/>
      <c r="AI9" s="301"/>
      <c r="AJ9" s="301"/>
      <c r="AK9" s="1182" t="s">
        <v>696</v>
      </c>
      <c r="AM9" s="434"/>
      <c r="AN9" s="434" t="str">
        <f t="shared" si="0"/>
        <v>Добавить значение признака дифференциации</v>
      </c>
      <c r="AO9" s="434"/>
      <c r="AP9" s="434"/>
      <c r="AQ9" s="1079">
        <v>0</v>
      </c>
    </row>
    <row r="10" spans="1:43" ht="21" hidden="1" customHeight="1">
      <c r="A10" s="1287"/>
      <c r="B10" s="1287"/>
      <c r="C10" s="1287"/>
      <c r="D10" s="1287"/>
      <c r="E10" s="4034"/>
      <c r="F10" s="4034"/>
      <c r="G10" s="4034"/>
      <c r="H10" s="4034"/>
      <c r="I10" s="4035"/>
      <c r="J10" s="1287"/>
      <c r="K10" s="1287"/>
      <c r="L10" s="1288"/>
      <c r="P10" s="4037"/>
      <c r="Q10" s="1374"/>
      <c r="R10" s="290"/>
      <c r="S10" s="1202"/>
      <c r="T10" s="299" t="s">
        <v>620</v>
      </c>
      <c r="U10" s="301"/>
      <c r="V10" s="301"/>
      <c r="W10" s="301"/>
      <c r="X10" s="301"/>
      <c r="Y10" s="301"/>
      <c r="Z10" s="301"/>
      <c r="AA10" s="301"/>
      <c r="AB10" s="300"/>
      <c r="AC10" s="301"/>
      <c r="AD10" s="301"/>
      <c r="AE10" s="301"/>
      <c r="AF10" s="301"/>
      <c r="AG10" s="301"/>
      <c r="AH10" s="301"/>
      <c r="AI10" s="300"/>
      <c r="AJ10" s="301"/>
      <c r="AK10" s="1364"/>
      <c r="AM10" s="434"/>
      <c r="AN10" s="434" t="str">
        <f t="shared" si="0"/>
        <v>Добавить группу потребителей</v>
      </c>
      <c r="AO10" s="434"/>
      <c r="AP10" s="434"/>
      <c r="AQ10" s="1079">
        <v>0</v>
      </c>
    </row>
    <row r="11" spans="1:43" ht="21" hidden="1" customHeight="1">
      <c r="A11" s="1287"/>
      <c r="B11" s="1287"/>
      <c r="C11" s="1287"/>
      <c r="D11" s="1287"/>
      <c r="E11" s="4034"/>
      <c r="F11" s="4034"/>
      <c r="G11" s="4034"/>
      <c r="H11" s="4033"/>
      <c r="I11" s="1287"/>
      <c r="J11" s="1287"/>
      <c r="K11" s="1287"/>
      <c r="L11" s="1288"/>
      <c r="M11" s="1289"/>
      <c r="N11" s="1289"/>
      <c r="O11" s="471"/>
      <c r="P11" s="294"/>
      <c r="Q11" s="309"/>
      <c r="R11" s="289"/>
      <c r="S11" s="1202"/>
      <c r="T11" s="306" t="s">
        <v>697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9">
        <v>0</v>
      </c>
    </row>
    <row r="12" spans="1:43" s="1566" customFormat="1" ht="14.25" hidden="1" customHeight="1">
      <c r="A12" s="1267"/>
      <c r="B12" s="1267"/>
      <c r="C12" s="1238"/>
      <c r="D12" s="1238"/>
      <c r="E12" s="4034"/>
      <c r="F12" s="4033"/>
      <c r="G12" s="1238"/>
      <c r="H12" s="1238"/>
      <c r="I12" s="1238"/>
      <c r="J12" s="1238"/>
      <c r="K12" s="1238"/>
      <c r="L12" s="1382"/>
      <c r="M12" s="1245"/>
      <c r="N12" s="1245"/>
      <c r="P12" s="1240"/>
      <c r="Q12" s="1241"/>
      <c r="R12" s="1240"/>
      <c r="S12" s="1246"/>
      <c r="T12" s="1249" t="s">
        <v>236</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2">
        <v>0</v>
      </c>
    </row>
    <row r="13" spans="1:43" s="1566" customFormat="1" ht="14.25" hidden="1" customHeight="1">
      <c r="A13" s="1267"/>
      <c r="B13" s="1267"/>
      <c r="C13" s="1267"/>
      <c r="D13" s="1267"/>
      <c r="E13" s="4033"/>
      <c r="F13" s="1267"/>
      <c r="G13" s="1267"/>
      <c r="H13" s="1267"/>
      <c r="I13" s="1267"/>
      <c r="J13" s="1267"/>
      <c r="K13" s="1267"/>
      <c r="L13" s="1270"/>
      <c r="M13" s="1245"/>
      <c r="N13" s="1245"/>
      <c r="O13" s="452"/>
      <c r="P13" s="314"/>
      <c r="Q13" s="1268"/>
      <c r="R13" s="314"/>
      <c r="S13" s="1246"/>
      <c r="T13" s="1249" t="s">
        <v>286</v>
      </c>
      <c r="U13" s="1248"/>
      <c r="V13" s="1248"/>
      <c r="W13" s="1248"/>
      <c r="X13" s="1248"/>
      <c r="Y13" s="1248"/>
      <c r="Z13" s="1248"/>
      <c r="AA13" s="1248"/>
      <c r="AB13" s="1248"/>
      <c r="AC13" s="1248"/>
      <c r="AD13" s="1248"/>
      <c r="AE13" s="1248"/>
      <c r="AF13" s="1248"/>
      <c r="AG13" s="1248"/>
      <c r="AH13" s="1248"/>
      <c r="AI13" s="1248"/>
      <c r="AJ13" s="1248"/>
      <c r="AK13" s="1248"/>
      <c r="AM13" s="434"/>
      <c r="AN13" s="434" t="str">
        <f t="shared" si="0"/>
        <v>Добавить территорию для дифференциации</v>
      </c>
      <c r="AO13" s="434"/>
      <c r="AP13" s="434"/>
      <c r="AQ13" s="445">
        <v>0</v>
      </c>
    </row>
    <row r="14" spans="1:43" ht="14.25" hidden="1" customHeight="1">
      <c r="AB14" s="262"/>
      <c r="AI14" s="262"/>
      <c r="AQ14" s="1079">
        <v>0</v>
      </c>
    </row>
    <row r="15" spans="1:43" ht="14.25" hidden="1" customHeight="1">
      <c r="AC15" s="1284"/>
      <c r="AD15" s="1284"/>
      <c r="AE15" s="1285"/>
      <c r="AF15" s="4031"/>
      <c r="AG15" s="4030" t="s">
        <v>53</v>
      </c>
      <c r="AH15" s="4031"/>
      <c r="AI15" s="4030" t="s">
        <v>53</v>
      </c>
      <c r="AQ15" s="1079">
        <v>0</v>
      </c>
    </row>
    <row r="16" spans="1:43" ht="14.25" hidden="1" customHeight="1">
      <c r="AC16" s="1284"/>
      <c r="AD16" s="1284"/>
      <c r="AE16" s="263" t="str">
        <f>AF15&amp;"-"&amp;AH15</f>
        <v>-</v>
      </c>
      <c r="AF16" s="4030"/>
      <c r="AG16" s="4030"/>
      <c r="AH16" s="4030"/>
      <c r="AI16" s="4030"/>
      <c r="AQ16" s="1079">
        <v>0</v>
      </c>
    </row>
    <row r="17" spans="1:43" ht="14.25" hidden="1" customHeight="1">
      <c r="AI17" s="262"/>
      <c r="AQ17" s="1079">
        <v>0</v>
      </c>
    </row>
    <row r="18" spans="1:43" s="1290" customFormat="1" ht="22.5" hidden="1" customHeight="1">
      <c r="L18" s="1371"/>
      <c r="M18" s="1286"/>
      <c r="N18" s="1286"/>
      <c r="O18" s="1291" t="s">
        <v>622</v>
      </c>
      <c r="P18" s="1286"/>
      <c r="Q18" s="1295"/>
      <c r="R18" s="1295"/>
      <c r="S18" s="663"/>
      <c r="Y18" s="1291"/>
      <c r="AA18" s="1291"/>
      <c r="AF18" s="1291"/>
      <c r="AH18" s="1291"/>
      <c r="AL18" s="445"/>
      <c r="AM18" s="445"/>
      <c r="AN18" s="445"/>
      <c r="AO18" s="445"/>
      <c r="AP18" s="445"/>
      <c r="AQ18" s="1084">
        <v>0</v>
      </c>
    </row>
    <row r="19" spans="1:43" s="1290" customFormat="1" ht="14.25" hidden="1" customHeight="1">
      <c r="L19" s="1371"/>
      <c r="M19" s="1286"/>
      <c r="N19" s="1286"/>
      <c r="O19" s="1286"/>
      <c r="P19" s="1286"/>
      <c r="Q19" s="1295"/>
      <c r="R19" s="1295"/>
      <c r="S19" s="663"/>
      <c r="AL19" s="445"/>
      <c r="AM19" s="445"/>
      <c r="AN19" s="445"/>
      <c r="AO19" s="445"/>
      <c r="AP19" s="445"/>
      <c r="AQ19" s="1084">
        <v>0</v>
      </c>
    </row>
    <row r="20" spans="1:43" s="1290" customFormat="1" ht="12" hidden="1" customHeight="1">
      <c r="L20" s="1371"/>
      <c r="M20" s="1286"/>
      <c r="N20" s="1286"/>
      <c r="O20" s="1288" t="s">
        <v>623</v>
      </c>
      <c r="P20" s="1286"/>
      <c r="Q20" s="1366"/>
      <c r="R20" s="1366"/>
      <c r="S20" s="663"/>
      <c r="T20" s="1084" t="s">
        <v>624</v>
      </c>
      <c r="Z20" s="121" t="s">
        <v>625</v>
      </c>
      <c r="AB20" s="121" t="s">
        <v>626</v>
      </c>
      <c r="AC20" s="1084" t="s">
        <v>624</v>
      </c>
      <c r="AG20" s="121" t="s">
        <v>627</v>
      </c>
      <c r="AI20" s="121" t="s">
        <v>626</v>
      </c>
      <c r="AQ20" s="1084">
        <v>0</v>
      </c>
    </row>
    <row r="21" spans="1:43" ht="14.25" hidden="1" customHeight="1">
      <c r="O21" s="1288"/>
      <c r="AQ21" s="1079">
        <v>0</v>
      </c>
    </row>
    <row r="22" spans="1:43" ht="14.25" hidden="1" customHeight="1">
      <c r="O22" s="1288"/>
      <c r="AQ22" s="1079">
        <v>0</v>
      </c>
    </row>
    <row r="23" spans="1:43" ht="14.65" customHeight="1">
      <c r="Q23" s="310"/>
      <c r="R23" s="310"/>
      <c r="S23" s="1199"/>
      <c r="T23" s="297"/>
      <c r="U23" s="297"/>
      <c r="V23" s="443"/>
      <c r="W23" s="443"/>
      <c r="X23" s="443"/>
      <c r="Y23" s="443"/>
      <c r="Z23" s="443"/>
      <c r="AA23" s="443"/>
      <c r="AB23" s="443"/>
      <c r="AC23" s="443"/>
      <c r="AD23" s="443"/>
      <c r="AE23" s="443"/>
      <c r="AF23" s="443"/>
      <c r="AG23" s="443"/>
      <c r="AH23" s="443"/>
      <c r="AI23" s="443"/>
      <c r="AQ23" s="1079">
        <v>14</v>
      </c>
    </row>
    <row r="24" spans="1:43" ht="14.65" customHeight="1">
      <c r="Q24" s="310"/>
      <c r="R24" s="310"/>
      <c r="S24" s="40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014"/>
      <c r="U24" s="4014"/>
      <c r="V24" s="4014"/>
      <c r="W24" s="4014"/>
      <c r="X24" s="4014"/>
      <c r="Y24" s="4014"/>
      <c r="Z24" s="4014"/>
      <c r="AA24" s="4014"/>
      <c r="AB24" s="4014"/>
      <c r="AC24" s="4014"/>
      <c r="AD24" s="4014"/>
      <c r="AE24" s="4014"/>
      <c r="AF24" s="4014"/>
      <c r="AG24" s="4014"/>
      <c r="AH24" s="4014"/>
      <c r="AI24" s="1167"/>
      <c r="AQ24" s="1079">
        <v>14</v>
      </c>
    </row>
    <row r="25" spans="1:43" ht="14.65" customHeight="1">
      <c r="Q25" s="310"/>
      <c r="R25" s="310"/>
      <c r="S25" s="3987" t="str">
        <f>IF(org=0,"Не определено",org)</f>
        <v>ООО "Смоленскрегионтеплоэнерго"</v>
      </c>
      <c r="T25" s="3987"/>
      <c r="U25" s="3987"/>
      <c r="V25" s="3987"/>
      <c r="W25" s="3987"/>
      <c r="X25" s="3987"/>
      <c r="Y25" s="3987"/>
      <c r="Z25" s="3987"/>
      <c r="AA25" s="3987"/>
      <c r="AB25" s="3987"/>
      <c r="AC25" s="3987"/>
      <c r="AD25" s="3987"/>
      <c r="AE25" s="3987"/>
      <c r="AF25" s="3987"/>
      <c r="AG25" s="3987"/>
      <c r="AH25" s="3987"/>
      <c r="AI25" s="1167"/>
      <c r="AQ25" s="1079">
        <v>14</v>
      </c>
    </row>
    <row r="26" spans="1:43" ht="14.25" hidden="1" customHeight="1">
      <c r="Q26" s="310"/>
      <c r="R26" s="310"/>
      <c r="S26" s="1199"/>
      <c r="T26" s="297"/>
      <c r="U26" s="297"/>
      <c r="V26" s="257"/>
      <c r="W26" s="257"/>
      <c r="X26" s="257"/>
      <c r="Y26" s="257"/>
      <c r="Z26" s="257"/>
      <c r="AA26" s="257"/>
      <c r="AB26" s="257"/>
      <c r="AC26" s="257"/>
      <c r="AD26" s="257"/>
      <c r="AE26" s="257"/>
      <c r="AF26" s="257"/>
      <c r="AG26" s="257"/>
      <c r="AH26" s="257"/>
      <c r="AI26" s="257"/>
      <c r="AJ26" s="443"/>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4024" t="s">
        <v>29</v>
      </c>
      <c r="T27" s="4024"/>
      <c r="U27" s="1296"/>
      <c r="V27" s="4026" t="str">
        <f>IF(TITLE_NAME_OR_PR_CHANGE="",IF(TITLE_NAME_OR_PR="","",TITLE_NAME_OR_PR),TITLE_NAME_OR_PR_CHANGE)</f>
        <v/>
      </c>
      <c r="W27" s="4026"/>
      <c r="X27" s="4026"/>
      <c r="Y27" s="4026"/>
      <c r="Z27" s="4026"/>
      <c r="AA27" s="4026"/>
      <c r="AB27" s="261"/>
      <c r="AC27" s="4026" t="str">
        <f>IF(TITLE_NAME_OR_PR_CHANGE="",IF(TITLE_NAME_OR_PR="","",TITLE_NAME_OR_PR),TITLE_NAME_OR_PR_CHANGE)</f>
        <v/>
      </c>
      <c r="AD27" s="4026"/>
      <c r="AE27" s="4026"/>
      <c r="AF27" s="4026"/>
      <c r="AG27" s="4026"/>
      <c r="AH27" s="4026"/>
      <c r="AI27" s="261"/>
      <c r="AJ27" s="261"/>
      <c r="AK27" s="215"/>
      <c r="AL27" s="302"/>
      <c r="AM27" s="302"/>
      <c r="AN27" s="302"/>
      <c r="AO27" s="302"/>
      <c r="AP27" s="302"/>
      <c r="AQ27" s="352">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4024" t="s">
        <v>628</v>
      </c>
      <c r="T28" s="4024"/>
      <c r="U28" s="1296"/>
      <c r="V28" s="4025">
        <f>IF(TITLE_DATE_PR_CHANGE="",IF(TITLE_DATE_PR="","",TITLE_DATE_PR),TITLE_DATE_PR_CHANGE)</f>
        <v>45765</v>
      </c>
      <c r="W28" s="4025"/>
      <c r="X28" s="4025"/>
      <c r="Y28" s="4025"/>
      <c r="Z28" s="4025"/>
      <c r="AA28" s="4025"/>
      <c r="AB28" s="261"/>
      <c r="AC28" s="4025">
        <f>IF(TITLE_DATE_PR_CHANGE="",IF(TITLE_DATE_PR="","",TITLE_DATE_PR),TITLE_DATE_PR_CHANGE)</f>
        <v>45765</v>
      </c>
      <c r="AD28" s="4025"/>
      <c r="AE28" s="4025"/>
      <c r="AF28" s="4025"/>
      <c r="AG28" s="4025"/>
      <c r="AH28" s="4025"/>
      <c r="AI28" s="261"/>
      <c r="AJ28" s="261"/>
      <c r="AK28" s="215"/>
      <c r="AL28" s="302"/>
      <c r="AM28" s="302"/>
      <c r="AN28" s="302"/>
      <c r="AO28" s="302"/>
      <c r="AP28" s="302"/>
      <c r="AQ28" s="352">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4024" t="s">
        <v>629</v>
      </c>
      <c r="T29" s="4024"/>
      <c r="U29" s="1296"/>
      <c r="V29" s="4026" t="str">
        <f>IF(TITLE_NUMBER_PR_CHANGE="",IF(TITLE_NUMBER_PR="","",TITLE_NUMBER_PR),TITLE_NUMBER_PR_CHANGE)</f>
        <v>917</v>
      </c>
      <c r="W29" s="4026"/>
      <c r="X29" s="4026"/>
      <c r="Y29" s="4026"/>
      <c r="Z29" s="4026"/>
      <c r="AA29" s="4026"/>
      <c r="AB29" s="261"/>
      <c r="AC29" s="4026" t="str">
        <f>IF(TITLE_NUMBER_PR_CHANGE="",IF(TITLE_NUMBER_PR="","",TITLE_NUMBER_PR),TITLE_NUMBER_PR_CHANGE)</f>
        <v>917</v>
      </c>
      <c r="AD29" s="4026"/>
      <c r="AE29" s="4026"/>
      <c r="AF29" s="4026"/>
      <c r="AG29" s="4026"/>
      <c r="AH29" s="4026"/>
      <c r="AI29" s="261"/>
      <c r="AJ29" s="261"/>
      <c r="AK29" s="215"/>
      <c r="AL29" s="302"/>
      <c r="AM29" s="302"/>
      <c r="AN29" s="302"/>
      <c r="AO29" s="302"/>
      <c r="AP29" s="302"/>
      <c r="AQ29" s="352">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4024" t="s">
        <v>30</v>
      </c>
      <c r="T30" s="4024"/>
      <c r="U30" s="1296"/>
      <c r="V30" s="4026" t="str">
        <f>IF(TITLE_IST_PUB_CHANGE="",IF(TITLE_IST_PUB="","",TITLE_IST_PUB),TITLE_IST_PUB_CHANGE)</f>
        <v/>
      </c>
      <c r="W30" s="4026"/>
      <c r="X30" s="4026"/>
      <c r="Y30" s="4026"/>
      <c r="Z30" s="4026"/>
      <c r="AA30" s="4026"/>
      <c r="AB30" s="261"/>
      <c r="AC30" s="4026" t="str">
        <f>IF(TITLE_IST_PUB_CHANGE="",IF(TITLE_IST_PUB="","",TITLE_IST_PUB),TITLE_IST_PUB_CHANGE)</f>
        <v/>
      </c>
      <c r="AD30" s="4026"/>
      <c r="AE30" s="4026"/>
      <c r="AF30" s="4026"/>
      <c r="AG30" s="4026"/>
      <c r="AH30" s="4026"/>
      <c r="AI30" s="261"/>
      <c r="AJ30" s="261"/>
      <c r="AK30" s="215"/>
      <c r="AL30" s="302"/>
      <c r="AM30" s="302"/>
      <c r="AN30" s="302"/>
      <c r="AO30" s="302"/>
      <c r="AP30" s="302"/>
      <c r="AQ30" s="352">
        <v>0</v>
      </c>
    </row>
    <row r="31" spans="1:43" ht="14.25" customHeight="1">
      <c r="Q31" s="310"/>
      <c r="R31" s="310"/>
      <c r="S31" s="1199"/>
      <c r="T31" s="297"/>
      <c r="U31" s="297"/>
      <c r="V31" s="257"/>
      <c r="W31" s="257"/>
      <c r="X31" s="257"/>
      <c r="Y31" s="257"/>
      <c r="Z31" s="257"/>
      <c r="AA31" s="257"/>
      <c r="AB31" s="257"/>
      <c r="AC31" s="257"/>
      <c r="AD31" s="257"/>
      <c r="AE31" s="257"/>
      <c r="AF31" s="257"/>
      <c r="AG31" s="257"/>
      <c r="AH31" s="257"/>
      <c r="AI31" s="257"/>
      <c r="AJ31" s="443"/>
      <c r="AQ31" s="1079">
        <v>0</v>
      </c>
    </row>
    <row r="32" spans="1:43" s="1748" customFormat="1" ht="18.75" customHeight="1">
      <c r="A32" s="1292"/>
      <c r="B32" s="1292"/>
      <c r="C32" s="1292"/>
      <c r="D32" s="1292"/>
      <c r="E32" s="1292"/>
      <c r="F32" s="1292"/>
      <c r="G32" s="1292"/>
      <c r="H32" s="1292"/>
      <c r="I32" s="1292"/>
      <c r="J32" s="1292"/>
      <c r="K32" s="1292"/>
      <c r="L32" s="1293"/>
      <c r="M32" s="1292"/>
      <c r="N32" s="1292"/>
      <c r="O32" s="1292"/>
      <c r="S32" s="4024" t="s">
        <v>630</v>
      </c>
      <c r="T32" s="4024"/>
      <c r="U32" s="1296"/>
      <c r="V32" s="4025">
        <f>IF(TITLE_DATE_PR_CHANGE="",IF(TITLE_DATE_PR="","",TITLE_DATE_PR),TITLE_DATE_PR_CHANGE)</f>
        <v>45765</v>
      </c>
      <c r="W32" s="4025"/>
      <c r="X32" s="4025"/>
      <c r="Y32" s="4025"/>
      <c r="Z32" s="4025"/>
      <c r="AA32" s="4025"/>
      <c r="AB32" s="261"/>
      <c r="AC32" s="4025">
        <f>IF(TITLE_DATE_PR_CHANGE="",IF(TITLE_DATE_PR="","",TITLE_DATE_PR),TITLE_DATE_PR_CHANGE)</f>
        <v>45765</v>
      </c>
      <c r="AD32" s="4025"/>
      <c r="AE32" s="4025"/>
      <c r="AF32" s="4025"/>
      <c r="AG32" s="4025"/>
      <c r="AH32" s="4025"/>
      <c r="AI32" s="261"/>
      <c r="AJ32" s="261"/>
      <c r="AK32" s="215"/>
      <c r="AL32" s="302"/>
      <c r="AM32" s="302"/>
      <c r="AN32" s="302"/>
      <c r="AO32" s="302"/>
      <c r="AP32" s="302"/>
      <c r="AQ32" s="352">
        <v>0</v>
      </c>
    </row>
    <row r="33" spans="1:43" s="1748" customFormat="1" ht="18.75" customHeight="1">
      <c r="A33" s="1292"/>
      <c r="B33" s="1292"/>
      <c r="C33" s="1292"/>
      <c r="D33" s="1292"/>
      <c r="E33" s="1292"/>
      <c r="F33" s="1292"/>
      <c r="G33" s="1292"/>
      <c r="H33" s="1292"/>
      <c r="I33" s="1292"/>
      <c r="J33" s="1292"/>
      <c r="K33" s="1292"/>
      <c r="L33" s="1293"/>
      <c r="M33" s="1292"/>
      <c r="N33" s="1292"/>
      <c r="O33" s="1292"/>
      <c r="S33" s="4024" t="s">
        <v>631</v>
      </c>
      <c r="T33" s="4024"/>
      <c r="U33" s="1296"/>
      <c r="V33" s="4026" t="str">
        <f>IF(TITLE_NUMBER_PR_CHANGE="",IF(TITLE_NUMBER_PR="","",TITLE_NUMBER_PR),TITLE_NUMBER_PR_CHANGE)</f>
        <v>917</v>
      </c>
      <c r="W33" s="4026"/>
      <c r="X33" s="4026"/>
      <c r="Y33" s="4026"/>
      <c r="Z33" s="4026"/>
      <c r="AA33" s="4026"/>
      <c r="AB33" s="261"/>
      <c r="AC33" s="4026" t="str">
        <f>IF(TITLE_NUMBER_PR_CHANGE="",IF(TITLE_NUMBER_PR="","",TITLE_NUMBER_PR),TITLE_NUMBER_PR_CHANGE)</f>
        <v>917</v>
      </c>
      <c r="AD33" s="4026"/>
      <c r="AE33" s="4026"/>
      <c r="AF33" s="4026"/>
      <c r="AG33" s="4026"/>
      <c r="AH33" s="4026"/>
      <c r="AI33" s="261"/>
      <c r="AJ33" s="261"/>
      <c r="AK33" s="215"/>
      <c r="AL33" s="302"/>
      <c r="AM33" s="302"/>
      <c r="AN33" s="302"/>
      <c r="AO33" s="302"/>
      <c r="AP33" s="302"/>
      <c r="AQ33" s="352">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378"/>
      <c r="V34" s="261"/>
      <c r="W34" s="261"/>
      <c r="X34" s="261"/>
      <c r="Y34" s="261"/>
      <c r="Z34" s="261"/>
      <c r="AA34" s="261"/>
      <c r="AB34" s="213" t="s">
        <v>632</v>
      </c>
      <c r="AC34" s="261"/>
      <c r="AD34" s="261"/>
      <c r="AE34" s="261"/>
      <c r="AF34" s="261"/>
      <c r="AG34" s="261"/>
      <c r="AH34" s="261"/>
      <c r="AI34" s="213" t="s">
        <v>632</v>
      </c>
      <c r="AL34" s="302"/>
      <c r="AM34" s="302"/>
      <c r="AN34" s="302"/>
      <c r="AO34" s="302"/>
      <c r="AP34" s="302"/>
      <c r="AQ34" s="352">
        <v>1</v>
      </c>
    </row>
    <row r="35" spans="1:43" ht="14.65" customHeight="1">
      <c r="Q35" s="310"/>
      <c r="R35" s="310"/>
      <c r="S35" s="1199"/>
      <c r="T35" s="297"/>
      <c r="U35" s="1168"/>
      <c r="V35" s="4045"/>
      <c r="W35" s="4045"/>
      <c r="X35" s="4045"/>
      <c r="Y35" s="4045"/>
      <c r="Z35" s="4045"/>
      <c r="AA35" s="4045"/>
      <c r="AB35" s="4045"/>
      <c r="AC35" s="4045"/>
      <c r="AD35" s="4045"/>
      <c r="AE35" s="4045"/>
      <c r="AF35" s="4045"/>
      <c r="AG35" s="4045"/>
      <c r="AH35" s="4045"/>
      <c r="AI35" s="4045"/>
      <c r="AQ35" s="1079">
        <v>14</v>
      </c>
    </row>
    <row r="36" spans="1:43" ht="14.65" customHeight="1">
      <c r="Q36" s="310"/>
      <c r="R36" s="310"/>
      <c r="S36" s="3889" t="s">
        <v>508</v>
      </c>
      <c r="T36" s="3889"/>
      <c r="U36" s="3889"/>
      <c r="V36" s="3889"/>
      <c r="W36" s="3889"/>
      <c r="X36" s="3889"/>
      <c r="Y36" s="3889"/>
      <c r="Z36" s="3889"/>
      <c r="AA36" s="3889"/>
      <c r="AB36" s="3889"/>
      <c r="AC36" s="3889"/>
      <c r="AD36" s="3889"/>
      <c r="AE36" s="3889"/>
      <c r="AF36" s="3889"/>
      <c r="AG36" s="3889"/>
      <c r="AH36" s="3889"/>
      <c r="AI36" s="3889"/>
      <c r="AJ36" s="3889"/>
      <c r="AK36" s="3889" t="s">
        <v>509</v>
      </c>
      <c r="AQ36" s="1079">
        <v>14</v>
      </c>
    </row>
    <row r="37" spans="1:43" ht="14.65" customHeight="1">
      <c r="Q37" s="310"/>
      <c r="R37" s="310"/>
      <c r="S37" s="4046" t="s">
        <v>75</v>
      </c>
      <c r="T37" s="3995" t="s">
        <v>633</v>
      </c>
      <c r="U37" s="236"/>
      <c r="V37" s="4047" t="s">
        <v>634</v>
      </c>
      <c r="W37" s="4048"/>
      <c r="X37" s="4048"/>
      <c r="Y37" s="4048"/>
      <c r="Z37" s="4048"/>
      <c r="AA37" s="4049"/>
      <c r="AB37" s="4050" t="s">
        <v>635</v>
      </c>
      <c r="AC37" s="4047" t="s">
        <v>634</v>
      </c>
      <c r="AD37" s="4048"/>
      <c r="AE37" s="4048"/>
      <c r="AF37" s="4048"/>
      <c r="AG37" s="4048"/>
      <c r="AH37" s="4049"/>
      <c r="AI37" s="4050" t="s">
        <v>636</v>
      </c>
      <c r="AJ37" s="4053" t="s">
        <v>637</v>
      </c>
      <c r="AK37" s="3889"/>
      <c r="AQ37" s="1079">
        <v>14</v>
      </c>
    </row>
    <row r="38" spans="1:43" ht="35.65" customHeight="1">
      <c r="Q38" s="310"/>
      <c r="R38" s="310"/>
      <c r="S38" s="4046"/>
      <c r="T38" s="3995"/>
      <c r="U38" s="958"/>
      <c r="V38" s="1376" t="s">
        <v>698</v>
      </c>
      <c r="W38" s="3870" t="s">
        <v>640</v>
      </c>
      <c r="X38" s="3869"/>
      <c r="Y38" s="3870" t="s">
        <v>641</v>
      </c>
      <c r="Z38" s="3875"/>
      <c r="AA38" s="3869"/>
      <c r="AB38" s="4051"/>
      <c r="AC38" s="1376" t="s">
        <v>698</v>
      </c>
      <c r="AD38" s="3870" t="s">
        <v>640</v>
      </c>
      <c r="AE38" s="3869"/>
      <c r="AF38" s="3870" t="s">
        <v>641</v>
      </c>
      <c r="AG38" s="3875"/>
      <c r="AH38" s="3869"/>
      <c r="AI38" s="4051"/>
      <c r="AJ38" s="4054"/>
      <c r="AK38" s="3889"/>
      <c r="AQ38" s="1079">
        <v>34</v>
      </c>
    </row>
    <row r="39" spans="1:43" ht="35.65" customHeight="1">
      <c r="A39" s="1294"/>
      <c r="B39" s="1294" t="s">
        <v>207</v>
      </c>
      <c r="C39" s="1294" t="s">
        <v>208</v>
      </c>
      <c r="D39" s="1294" t="s">
        <v>209</v>
      </c>
      <c r="E39" s="1288" t="s">
        <v>642</v>
      </c>
      <c r="F39" s="1288" t="s">
        <v>643</v>
      </c>
      <c r="G39" s="1288" t="s">
        <v>644</v>
      </c>
      <c r="H39" s="1288"/>
      <c r="I39" s="1288" t="s">
        <v>699</v>
      </c>
      <c r="J39" s="1288" t="s">
        <v>647</v>
      </c>
      <c r="K39" s="1288" t="s">
        <v>700</v>
      </c>
      <c r="L39" s="1288" t="s">
        <v>623</v>
      </c>
      <c r="Q39" s="310"/>
      <c r="R39" s="310"/>
      <c r="S39" s="4046"/>
      <c r="T39" s="3995"/>
      <c r="U39" s="237"/>
      <c r="V39" s="1376" t="s">
        <v>701</v>
      </c>
      <c r="W39" s="1146" t="s">
        <v>702</v>
      </c>
      <c r="X39" s="1146" t="s">
        <v>703</v>
      </c>
      <c r="Y39" s="1379" t="s">
        <v>651</v>
      </c>
      <c r="Z39" s="4000" t="s">
        <v>652</v>
      </c>
      <c r="AA39" s="4013"/>
      <c r="AB39" s="4052"/>
      <c r="AC39" s="1376" t="s">
        <v>701</v>
      </c>
      <c r="AD39" s="1146" t="s">
        <v>702</v>
      </c>
      <c r="AE39" s="1146" t="s">
        <v>703</v>
      </c>
      <c r="AF39" s="1379" t="s">
        <v>651</v>
      </c>
      <c r="AG39" s="4000" t="s">
        <v>652</v>
      </c>
      <c r="AH39" s="4013"/>
      <c r="AI39" s="4052"/>
      <c r="AJ39" s="4055"/>
      <c r="AK39" s="3889"/>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184</v>
      </c>
      <c r="T40" s="1179" t="s">
        <v>89</v>
      </c>
      <c r="U40" s="1169" t="str">
        <f ca="1">OFFSET(U40,0,-1)</f>
        <v>2</v>
      </c>
      <c r="V40" s="1375">
        <f ca="1">OFFSET(V40,0,-1)+1</f>
        <v>3</v>
      </c>
      <c r="W40" s="1375">
        <f ca="1">OFFSET(W40,0,-1)+1</f>
        <v>4</v>
      </c>
      <c r="X40" s="1375">
        <f ca="1">OFFSET(X40,0,-1)+1</f>
        <v>5</v>
      </c>
      <c r="Y40" s="1375">
        <f ca="1">OFFSET(Y40,0,-1)+1</f>
        <v>6</v>
      </c>
      <c r="Z40" s="4044">
        <f ca="1">OFFSET(Z40,0,-1)+1</f>
        <v>7</v>
      </c>
      <c r="AA40" s="4044"/>
      <c r="AB40" s="1375">
        <f ca="1">OFFSET(AB40,0,-2)+1</f>
        <v>8</v>
      </c>
      <c r="AC40" s="1375">
        <f ca="1">OFFSET(AC40,0,-1)+1</f>
        <v>9</v>
      </c>
      <c r="AD40" s="1375">
        <f ca="1">OFFSET(AD40,0,-1)+1</f>
        <v>10</v>
      </c>
      <c r="AE40" s="1375">
        <f ca="1">OFFSET(AE40,0,-1)+1</f>
        <v>11</v>
      </c>
      <c r="AF40" s="1375">
        <f ca="1">OFFSET(AF40,0,-1)+1</f>
        <v>12</v>
      </c>
      <c r="AG40" s="4044">
        <f ca="1">OFFSET(AG40,0,-1)+1</f>
        <v>13</v>
      </c>
      <c r="AH40" s="4044"/>
      <c r="AI40" s="1375">
        <f ca="1">OFFSET(AI40,0,-2)+1</f>
        <v>14</v>
      </c>
      <c r="AJ40" s="1169">
        <f ca="1">OFFSET(AJ40,0,-1)</f>
        <v>14</v>
      </c>
      <c r="AK40" s="1375">
        <f ca="1">OFFSET(AK40,0,-1)+1</f>
        <v>15</v>
      </c>
      <c r="AL40" s="445"/>
      <c r="AM40" s="445"/>
      <c r="AN40" s="445"/>
      <c r="AO40" s="445"/>
      <c r="AP40" s="445"/>
      <c r="AQ40" s="430">
        <v>0</v>
      </c>
    </row>
    <row r="41" spans="1:43" ht="24" customHeight="1">
      <c r="A41" s="1287" t="s">
        <v>439</v>
      </c>
      <c r="B41" s="1287"/>
      <c r="C41" s="1287"/>
      <c r="D41" s="1287"/>
      <c r="E41" s="4033">
        <v>1</v>
      </c>
      <c r="F41" s="1287"/>
      <c r="G41" s="1287"/>
      <c r="H41" s="1287"/>
      <c r="I41" s="1287"/>
      <c r="J41" s="1287"/>
      <c r="K41" s="1287"/>
      <c r="L41" s="1288"/>
      <c r="M41" s="1289"/>
      <c r="N41" s="1289"/>
      <c r="O41" s="1289"/>
      <c r="P41" s="295"/>
      <c r="Q41" s="294"/>
      <c r="R41" s="289"/>
      <c r="S41" s="1381">
        <f>INDEX(PT_DIFFERENTIATION_NUM_NTAR,MATCH(A41,PT_DIFFERENTIATION_NTAR_ID,0))</f>
        <v>0</v>
      </c>
      <c r="T41" s="233" t="s">
        <v>195</v>
      </c>
      <c r="U41" s="235"/>
      <c r="V41" s="4027"/>
      <c r="W41" s="4028"/>
      <c r="X41" s="4028"/>
      <c r="Y41" s="4028"/>
      <c r="Z41" s="4028"/>
      <c r="AA41" s="4028"/>
      <c r="AB41" s="4029"/>
      <c r="AC41" s="4027" t="str">
        <f>INDEX(PT_DIFFERENTIATION_NTAR,MATCH(A41,PT_DIFFERENTIATION_NTAR_ID,0))</f>
        <v/>
      </c>
      <c r="AD41" s="4028"/>
      <c r="AE41" s="4028"/>
      <c r="AF41" s="4028"/>
      <c r="AG41" s="4028"/>
      <c r="AH41" s="4028"/>
      <c r="AI41" s="4028"/>
      <c r="AJ41" s="4029"/>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9">
        <v>23</v>
      </c>
    </row>
    <row r="42" spans="1:43" ht="24" customHeight="1">
      <c r="A42" s="1287" t="s">
        <v>439</v>
      </c>
      <c r="B42" s="1287" t="s">
        <v>440</v>
      </c>
      <c r="C42" s="1287"/>
      <c r="D42" s="1287"/>
      <c r="E42" s="4034"/>
      <c r="F42" s="4033">
        <v>1</v>
      </c>
      <c r="G42" s="1287"/>
      <c r="H42" s="1287"/>
      <c r="I42" s="1287"/>
      <c r="J42" s="1287"/>
      <c r="K42" s="1287"/>
      <c r="L42" s="1288"/>
      <c r="M42" s="1289"/>
      <c r="N42" s="1289"/>
      <c r="O42" s="1289"/>
      <c r="P42" s="1377"/>
      <c r="Q42" s="286"/>
      <c r="R42" s="287"/>
      <c r="S42" s="1381" t="str">
        <f>INDEX(PT_DIFFERENTIATION_NUM_TER,MATCH(B42,PT_DIFFERENTIATION_TER_ID,0))</f>
        <v>.</v>
      </c>
      <c r="T42" s="243" t="s">
        <v>605</v>
      </c>
      <c r="U42" s="235"/>
      <c r="V42" s="4027"/>
      <c r="W42" s="4028"/>
      <c r="X42" s="4028"/>
      <c r="Y42" s="4028"/>
      <c r="Z42" s="4028"/>
      <c r="AA42" s="4028"/>
      <c r="AB42" s="4029"/>
      <c r="AC42" s="4027" t="str">
        <f>INDEX(PT_DIFFERENTIATION_TER,MATCH(B42,PT_DIFFERENTIATION_TER_ID,0))</f>
        <v/>
      </c>
      <c r="AD42" s="4028"/>
      <c r="AE42" s="4028"/>
      <c r="AF42" s="4028"/>
      <c r="AG42" s="4028"/>
      <c r="AH42" s="4028"/>
      <c r="AI42" s="4028"/>
      <c r="AJ42" s="4029"/>
      <c r="AK42" s="1182" t="s">
        <v>606</v>
      </c>
      <c r="AM42" s="434"/>
      <c r="AN42" s="434" t="str">
        <f t="shared" si="1"/>
        <v>Территория действия тарифа</v>
      </c>
      <c r="AO42" s="434"/>
      <c r="AP42" s="434"/>
      <c r="AQ42" s="1079">
        <v>23</v>
      </c>
    </row>
    <row r="43" spans="1:43" ht="24" customHeight="1">
      <c r="A43" s="1287" t="s">
        <v>439</v>
      </c>
      <c r="B43" s="1287" t="s">
        <v>440</v>
      </c>
      <c r="C43" s="1287" t="s">
        <v>441</v>
      </c>
      <c r="D43" s="1287"/>
      <c r="E43" s="4034"/>
      <c r="F43" s="4034"/>
      <c r="G43" s="4033">
        <v>1</v>
      </c>
      <c r="H43" s="1287"/>
      <c r="I43" s="1287"/>
      <c r="J43" s="1287"/>
      <c r="K43" s="1287"/>
      <c r="L43" s="1288"/>
      <c r="M43" s="1289"/>
      <c r="N43" s="1289"/>
      <c r="O43" s="1289"/>
      <c r="P43" s="288"/>
      <c r="Q43" s="286"/>
      <c r="R43" s="287"/>
      <c r="S43" s="1381" t="str">
        <f>INDEX(PT_DIFFERENTIATION_NUM_CS,MATCH(C43,PT_DIFFERENTIATION_CS_ID,0))</f>
        <v>..</v>
      </c>
      <c r="T43" s="244" t="s">
        <v>690</v>
      </c>
      <c r="U43" s="235"/>
      <c r="V43" s="4027"/>
      <c r="W43" s="4028"/>
      <c r="X43" s="4028"/>
      <c r="Y43" s="4028"/>
      <c r="Z43" s="4028"/>
      <c r="AA43" s="4028"/>
      <c r="AB43" s="4029"/>
      <c r="AC43" s="4027" t="str">
        <f>INDEX(PT_DIFFERENTIATION_CS,MATCH(C43,PT_DIFFERENTIATION_CS_ID,0))</f>
        <v/>
      </c>
      <c r="AD43" s="4028"/>
      <c r="AE43" s="4028"/>
      <c r="AF43" s="4028"/>
      <c r="AG43" s="4028"/>
      <c r="AH43" s="4028"/>
      <c r="AI43" s="4028"/>
      <c r="AJ43" s="4029"/>
      <c r="AK43" s="1182" t="s">
        <v>691</v>
      </c>
      <c r="AM43" s="434"/>
      <c r="AN43" s="434" t="str">
        <f t="shared" si="1"/>
        <v>Наименование централизованной системы холодного водоснабжения</v>
      </c>
      <c r="AO43" s="434"/>
      <c r="AP43" s="434"/>
      <c r="AQ43" s="1079">
        <v>23</v>
      </c>
    </row>
    <row r="44" spans="1:43" ht="24" customHeight="1">
      <c r="A44" s="1287" t="s">
        <v>439</v>
      </c>
      <c r="B44" s="1287" t="s">
        <v>440</v>
      </c>
      <c r="C44" s="1287" t="s">
        <v>441</v>
      </c>
      <c r="D44" s="1287" t="s">
        <v>705</v>
      </c>
      <c r="E44" s="4034"/>
      <c r="F44" s="4034"/>
      <c r="G44" s="4034"/>
      <c r="H44" s="4034"/>
      <c r="I44" s="4035" t="str">
        <f>S43&amp;".1"</f>
        <v>...1</v>
      </c>
      <c r="J44" s="1287"/>
      <c r="K44" s="1287"/>
      <c r="L44" s="1288"/>
      <c r="P44" s="4037">
        <v>1</v>
      </c>
      <c r="Q44" s="1374"/>
      <c r="R44" s="290"/>
      <c r="S44" s="1381" t="str">
        <f>$I44</f>
        <v>...1</v>
      </c>
      <c r="T44" s="220" t="s">
        <v>692</v>
      </c>
      <c r="U44" s="235"/>
      <c r="V44" s="4101"/>
      <c r="W44" s="4102"/>
      <c r="X44" s="4102"/>
      <c r="Y44" s="4102"/>
      <c r="Z44" s="4102"/>
      <c r="AA44" s="4102"/>
      <c r="AB44" s="4103"/>
      <c r="AC44" s="4104"/>
      <c r="AD44" s="4105"/>
      <c r="AE44" s="4105"/>
      <c r="AF44" s="4105"/>
      <c r="AG44" s="4105"/>
      <c r="AH44" s="4105"/>
      <c r="AI44" s="4105"/>
      <c r="AJ44" s="4106"/>
      <c r="AK44" s="1182" t="s">
        <v>693</v>
      </c>
      <c r="AM44" s="434"/>
      <c r="AN44" s="434" t="str">
        <f t="shared" si="1"/>
        <v>Наименование признака дифференциации</v>
      </c>
      <c r="AO44" s="434"/>
      <c r="AP44" s="434"/>
      <c r="AQ44" s="1079">
        <v>23</v>
      </c>
    </row>
    <row r="45" spans="1:43" ht="24" customHeight="1">
      <c r="A45" s="1287" t="s">
        <v>439</v>
      </c>
      <c r="B45" s="1287" t="s">
        <v>440</v>
      </c>
      <c r="C45" s="1287" t="s">
        <v>441</v>
      </c>
      <c r="D45" s="1287" t="s">
        <v>705</v>
      </c>
      <c r="E45" s="4034"/>
      <c r="F45" s="4034"/>
      <c r="G45" s="4034"/>
      <c r="H45" s="4034"/>
      <c r="I45" s="4036"/>
      <c r="J45" s="4035" t="str">
        <f>I44&amp;".1"</f>
        <v>...1.1</v>
      </c>
      <c r="K45" s="1287"/>
      <c r="L45" s="1288" t="s">
        <v>614</v>
      </c>
      <c r="P45" s="4037"/>
      <c r="Q45" s="4037">
        <v>1</v>
      </c>
      <c r="R45" s="291"/>
      <c r="S45" s="1381" t="str">
        <f>$J45</f>
        <v>...1.1</v>
      </c>
      <c r="T45" s="221" t="s">
        <v>615</v>
      </c>
      <c r="U45" s="235"/>
      <c r="V45" s="4021"/>
      <c r="W45" s="4022"/>
      <c r="X45" s="4022"/>
      <c r="Y45" s="4022"/>
      <c r="Z45" s="4022"/>
      <c r="AA45" s="4022"/>
      <c r="AB45" s="4023"/>
      <c r="AC45" s="4021"/>
      <c r="AD45" s="4022"/>
      <c r="AE45" s="4022"/>
      <c r="AF45" s="4022"/>
      <c r="AG45" s="4022"/>
      <c r="AH45" s="4022"/>
      <c r="AI45" s="4022"/>
      <c r="AJ45" s="4023"/>
      <c r="AK45" s="1231" t="s">
        <v>694</v>
      </c>
      <c r="AM45" s="434"/>
      <c r="AN45" s="434" t="str">
        <f t="shared" si="1"/>
        <v>Группа потребителей</v>
      </c>
      <c r="AO45" s="434"/>
      <c r="AP45" s="434"/>
      <c r="AQ45" s="1079">
        <v>23</v>
      </c>
    </row>
    <row r="46" spans="1:43" ht="24" customHeight="1">
      <c r="A46" s="1287" t="s">
        <v>439</v>
      </c>
      <c r="B46" s="1287" t="s">
        <v>440</v>
      </c>
      <c r="C46" s="1287" t="s">
        <v>441</v>
      </c>
      <c r="D46" s="1287" t="s">
        <v>705</v>
      </c>
      <c r="E46" s="4034"/>
      <c r="F46" s="4034"/>
      <c r="G46" s="4034"/>
      <c r="H46" s="4034"/>
      <c r="I46" s="4036"/>
      <c r="J46" s="4036"/>
      <c r="K46" s="4035" t="str">
        <f>J45&amp;".1"</f>
        <v>...1.1.1</v>
      </c>
      <c r="L46" s="1288"/>
      <c r="P46" s="4037"/>
      <c r="Q46" s="4037"/>
      <c r="R46" s="291">
        <v>1</v>
      </c>
      <c r="S46" s="1381" t="str">
        <f>$K46</f>
        <v>...1.1.1</v>
      </c>
      <c r="T46" s="1361"/>
      <c r="U46" s="235"/>
      <c r="V46" s="685"/>
      <c r="W46" s="685"/>
      <c r="X46" s="1181"/>
      <c r="Y46" s="4038"/>
      <c r="Z46" s="3899" t="s">
        <v>53</v>
      </c>
      <c r="AA46" s="4038"/>
      <c r="AB46" s="3899" t="s">
        <v>53</v>
      </c>
      <c r="AC46" s="685"/>
      <c r="AD46" s="685"/>
      <c r="AE46" s="1181"/>
      <c r="AF46" s="4038"/>
      <c r="AG46" s="3899" t="s">
        <v>53</v>
      </c>
      <c r="AH46" s="4040"/>
      <c r="AI46" s="3899" t="s">
        <v>53</v>
      </c>
      <c r="AJ46" s="1362"/>
      <c r="AK46"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9">
        <v>23</v>
      </c>
    </row>
    <row r="47" spans="1:43" ht="0" hidden="1" customHeight="1">
      <c r="A47" s="1287" t="s">
        <v>439</v>
      </c>
      <c r="B47" s="1287" t="s">
        <v>440</v>
      </c>
      <c r="C47" s="1287" t="s">
        <v>441</v>
      </c>
      <c r="D47" s="1287" t="s">
        <v>705</v>
      </c>
      <c r="E47" s="4034"/>
      <c r="F47" s="4034"/>
      <c r="G47" s="4034"/>
      <c r="H47" s="4034"/>
      <c r="I47" s="4036"/>
      <c r="J47" s="4036"/>
      <c r="K47" s="4035"/>
      <c r="L47" s="1288"/>
      <c r="P47" s="4037"/>
      <c r="Q47" s="4037"/>
      <c r="R47" s="291"/>
      <c r="S47" s="1380"/>
      <c r="T47" s="235"/>
      <c r="U47" s="235"/>
      <c r="V47" s="260"/>
      <c r="W47" s="260"/>
      <c r="X47" s="263" t="str">
        <f>Y46&amp;"-"&amp;AA46</f>
        <v>-</v>
      </c>
      <c r="Y47" s="4039"/>
      <c r="Z47" s="3899"/>
      <c r="AA47" s="4039"/>
      <c r="AB47" s="3899"/>
      <c r="AC47" s="260"/>
      <c r="AD47" s="260"/>
      <c r="AE47" s="263" t="str">
        <f>AF46&amp;"-"&amp;AH46</f>
        <v>-</v>
      </c>
      <c r="AF47" s="4039"/>
      <c r="AG47" s="3899"/>
      <c r="AH47" s="4041"/>
      <c r="AI47" s="3899"/>
      <c r="AJ47" s="1363"/>
      <c r="AK47" s="4107"/>
      <c r="AM47" s="434"/>
      <c r="AN47" s="434" t="str">
        <f t="shared" si="1"/>
        <v/>
      </c>
      <c r="AO47" s="434"/>
      <c r="AP47" s="434"/>
      <c r="AQ47" s="1079">
        <v>0</v>
      </c>
    </row>
    <row r="48" spans="1:43" ht="21" customHeight="1">
      <c r="A48" s="1287" t="s">
        <v>439</v>
      </c>
      <c r="B48" s="1287" t="s">
        <v>440</v>
      </c>
      <c r="C48" s="1287" t="s">
        <v>441</v>
      </c>
      <c r="D48" s="1287" t="s">
        <v>705</v>
      </c>
      <c r="E48" s="4034"/>
      <c r="F48" s="4034"/>
      <c r="G48" s="4034"/>
      <c r="H48" s="4034"/>
      <c r="I48" s="4036"/>
      <c r="J48" s="4035"/>
      <c r="K48" s="1287"/>
      <c r="L48" s="1288"/>
      <c r="P48" s="4037"/>
      <c r="Q48" s="4037"/>
      <c r="R48" s="290"/>
      <c r="S48" s="1202"/>
      <c r="T48" s="222" t="s">
        <v>695</v>
      </c>
      <c r="U48" s="301"/>
      <c r="V48" s="301"/>
      <c r="W48" s="301"/>
      <c r="X48" s="301"/>
      <c r="Y48" s="301"/>
      <c r="Z48" s="301"/>
      <c r="AA48" s="301"/>
      <c r="AB48" s="301"/>
      <c r="AC48" s="301"/>
      <c r="AD48" s="301"/>
      <c r="AE48" s="301"/>
      <c r="AF48" s="301"/>
      <c r="AG48" s="301"/>
      <c r="AH48" s="301"/>
      <c r="AI48" s="301"/>
      <c r="AJ48" s="301"/>
      <c r="AK48" s="1182" t="s">
        <v>696</v>
      </c>
      <c r="AM48" s="434"/>
      <c r="AN48" s="434" t="str">
        <f t="shared" si="1"/>
        <v>Добавить значение признака дифференциации</v>
      </c>
      <c r="AO48" s="434"/>
      <c r="AP48" s="434"/>
      <c r="AQ48" s="1079">
        <v>20</v>
      </c>
    </row>
    <row r="49" spans="1:43" ht="21.95" customHeight="1">
      <c r="A49" s="1287" t="s">
        <v>439</v>
      </c>
      <c r="B49" s="1287" t="s">
        <v>440</v>
      </c>
      <c r="C49" s="1287" t="s">
        <v>441</v>
      </c>
      <c r="D49" s="1287" t="s">
        <v>705</v>
      </c>
      <c r="E49" s="4034"/>
      <c r="F49" s="4034"/>
      <c r="G49" s="4034"/>
      <c r="H49" s="4034"/>
      <c r="I49" s="4035"/>
      <c r="J49" s="1287"/>
      <c r="K49" s="1287"/>
      <c r="L49" s="1288"/>
      <c r="P49" s="4037"/>
      <c r="Q49" s="1374"/>
      <c r="R49" s="290"/>
      <c r="S49" s="1202"/>
      <c r="T49" s="299" t="s">
        <v>620</v>
      </c>
      <c r="U49" s="301"/>
      <c r="V49" s="301"/>
      <c r="W49" s="301"/>
      <c r="X49" s="301"/>
      <c r="Y49" s="301"/>
      <c r="Z49" s="301"/>
      <c r="AA49" s="301"/>
      <c r="AB49" s="300"/>
      <c r="AC49" s="301"/>
      <c r="AD49" s="301"/>
      <c r="AE49" s="301"/>
      <c r="AF49" s="301"/>
      <c r="AG49" s="301"/>
      <c r="AH49" s="301"/>
      <c r="AI49" s="300"/>
      <c r="AJ49" s="301"/>
      <c r="AK49" s="1364"/>
      <c r="AM49" s="434"/>
      <c r="AN49" s="434" t="str">
        <f t="shared" si="1"/>
        <v>Добавить группу потребителей</v>
      </c>
      <c r="AO49" s="434"/>
      <c r="AP49" s="434"/>
      <c r="AQ49" s="1079">
        <v>21</v>
      </c>
    </row>
    <row r="50" spans="1:43" ht="21.95" customHeight="1">
      <c r="A50" s="1287" t="s">
        <v>439</v>
      </c>
      <c r="B50" s="1287" t="s">
        <v>440</v>
      </c>
      <c r="C50" s="1287" t="s">
        <v>441</v>
      </c>
      <c r="D50" s="1287" t="s">
        <v>705</v>
      </c>
      <c r="E50" s="4034"/>
      <c r="F50" s="4034"/>
      <c r="G50" s="4034"/>
      <c r="H50" s="4033"/>
      <c r="I50" s="1287"/>
      <c r="J50" s="1287"/>
      <c r="K50" s="1287"/>
      <c r="L50" s="1288"/>
      <c r="M50" s="1289"/>
      <c r="N50" s="1289"/>
      <c r="O50" s="471"/>
      <c r="P50" s="294"/>
      <c r="Q50" s="309"/>
      <c r="R50" s="289"/>
      <c r="S50" s="1202"/>
      <c r="T50" s="306" t="s">
        <v>697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9">
        <v>21</v>
      </c>
    </row>
    <row r="51" spans="1:43" s="1566" customFormat="1" ht="0" hidden="1" customHeight="1">
      <c r="A51" s="1267" t="s">
        <v>439</v>
      </c>
      <c r="B51" s="1267" t="s">
        <v>440</v>
      </c>
      <c r="C51" s="1238"/>
      <c r="D51" s="1238"/>
      <c r="E51" s="4034"/>
      <c r="F51" s="4033"/>
      <c r="G51" s="1238"/>
      <c r="H51" s="1238"/>
      <c r="I51" s="1238"/>
      <c r="J51" s="1238"/>
      <c r="K51" s="1238"/>
      <c r="L51" s="1382"/>
      <c r="M51" s="1245"/>
      <c r="N51" s="1245"/>
      <c r="P51" s="1240"/>
      <c r="Q51" s="1241"/>
      <c r="R51" s="1240"/>
      <c r="S51" s="1246"/>
      <c r="T51" s="1249" t="s">
        <v>236</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2">
        <v>0</v>
      </c>
    </row>
    <row r="52" spans="1:43" s="1566" customFormat="1" ht="0" hidden="1" customHeight="1">
      <c r="A52" s="1267" t="s">
        <v>439</v>
      </c>
      <c r="B52" s="1267"/>
      <c r="C52" s="1267"/>
      <c r="D52" s="1267"/>
      <c r="E52" s="4033"/>
      <c r="F52" s="1267"/>
      <c r="G52" s="1267"/>
      <c r="H52" s="1267"/>
      <c r="I52" s="1267"/>
      <c r="J52" s="1267"/>
      <c r="K52" s="1267"/>
      <c r="L52" s="1270"/>
      <c r="M52" s="1245"/>
      <c r="N52" s="1245"/>
      <c r="O52" s="452"/>
      <c r="P52" s="314"/>
      <c r="Q52" s="1268"/>
      <c r="R52" s="314"/>
      <c r="S52" s="1246"/>
      <c r="T52" s="1249" t="s">
        <v>286</v>
      </c>
      <c r="U52" s="1248"/>
      <c r="V52" s="1248"/>
      <c r="W52" s="1248"/>
      <c r="X52" s="1248"/>
      <c r="Y52" s="1248"/>
      <c r="Z52" s="1248"/>
      <c r="AA52" s="1248"/>
      <c r="AB52" s="1248"/>
      <c r="AC52" s="1248"/>
      <c r="AD52" s="1248"/>
      <c r="AE52" s="1248"/>
      <c r="AF52" s="1248"/>
      <c r="AG52" s="1248"/>
      <c r="AH52" s="1248"/>
      <c r="AI52" s="1248"/>
      <c r="AJ52" s="1248"/>
      <c r="AK52" s="1248"/>
      <c r="AM52" s="434"/>
      <c r="AN52" s="434" t="str">
        <f t="shared" si="1"/>
        <v>Добавить территорию для дифференциации</v>
      </c>
      <c r="AO52" s="434"/>
      <c r="AP52" s="434"/>
      <c r="AQ52" s="445">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287</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2">
        <v>0</v>
      </c>
    </row>
    <row r="54" spans="1:43" ht="11.45" customHeight="1">
      <c r="M54" s="1084"/>
      <c r="N54" s="1084"/>
      <c r="O54" s="471"/>
      <c r="P54" s="1079"/>
      <c r="Q54" s="1079"/>
      <c r="R54" s="1079"/>
      <c r="S54" s="1079"/>
      <c r="AL54" s="1079"/>
      <c r="AM54" s="1079"/>
      <c r="AN54" s="1079"/>
      <c r="AO54" s="1079"/>
      <c r="AP54" s="1079"/>
      <c r="AQ54" s="1079">
        <v>11</v>
      </c>
    </row>
    <row r="55" spans="1:43" ht="14.65" customHeight="1">
      <c r="O55" s="471"/>
      <c r="S55" s="1177"/>
      <c r="T55" s="4032"/>
      <c r="U55" s="4032"/>
      <c r="V55" s="4032"/>
      <c r="W55" s="4032"/>
      <c r="X55" s="4032"/>
      <c r="Y55" s="4032"/>
      <c r="Z55" s="4032"/>
      <c r="AA55" s="4032"/>
      <c r="AB55" s="4032"/>
      <c r="AC55" s="4032"/>
      <c r="AD55" s="4032"/>
      <c r="AE55" s="4032"/>
      <c r="AF55" s="4032"/>
      <c r="AG55" s="4032"/>
      <c r="AH55" s="4032"/>
      <c r="AI55" s="4032"/>
      <c r="AJ55" s="4032"/>
      <c r="AK55" s="4032"/>
      <c r="AQ55" s="1079">
        <v>14</v>
      </c>
    </row>
    <row r="56" spans="1:43" ht="14.65" customHeight="1">
      <c r="O56" s="471"/>
      <c r="AQ56" s="1079">
        <v>14</v>
      </c>
    </row>
    <row r="57" spans="1:43" ht="14.65" customHeight="1">
      <c r="O57" s="471"/>
      <c r="S57" s="1177"/>
      <c r="T57" s="4032"/>
      <c r="U57" s="4032"/>
      <c r="V57" s="4032"/>
      <c r="W57" s="4032"/>
      <c r="X57" s="4032"/>
      <c r="Y57" s="4032"/>
      <c r="Z57" s="4032"/>
      <c r="AA57" s="4032"/>
      <c r="AB57" s="4032"/>
      <c r="AC57" s="4032"/>
      <c r="AD57" s="4032"/>
      <c r="AE57" s="4032"/>
      <c r="AF57" s="4032"/>
      <c r="AG57" s="4032"/>
      <c r="AH57" s="4032"/>
      <c r="AI57" s="4032"/>
      <c r="AJ57" s="4032"/>
      <c r="AK57" s="4032"/>
      <c r="AQ57" s="1079">
        <v>14</v>
      </c>
    </row>
    <row r="58" spans="1:43" ht="22.5" hidden="1" customHeight="1">
      <c r="A58" s="1084" t="s">
        <v>69</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79">
        <v>3</v>
      </c>
      <c r="R58" s="279">
        <v>3</v>
      </c>
      <c r="S58" s="515">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5">
        <v>10</v>
      </c>
      <c r="AM58" s="445">
        <v>10</v>
      </c>
      <c r="AN58" s="445">
        <v>10</v>
      </c>
      <c r="AO58" s="445">
        <v>10</v>
      </c>
      <c r="AP58" s="445">
        <v>10</v>
      </c>
      <c r="AQ58" s="1079">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4033">
        <v>1</v>
      </c>
      <c r="F2" s="1287"/>
      <c r="G2" s="1287"/>
      <c r="H2" s="1287"/>
      <c r="I2" s="1287"/>
      <c r="J2" s="1287"/>
      <c r="K2" s="1287"/>
      <c r="L2" s="1288"/>
      <c r="M2" s="1289"/>
      <c r="N2" s="1289"/>
      <c r="O2" s="1289"/>
      <c r="P2" s="295"/>
      <c r="Q2" s="294"/>
      <c r="R2" s="289"/>
      <c r="S2" s="1381" t="e">
        <f>INDEX(PT_DIFFERENTIATION_NUM_NTAR,MATCH(A2,PT_DIFFERENTIATION_NTAR_ID,0))</f>
        <v>#N/A</v>
      </c>
      <c r="T2" s="233" t="s">
        <v>195</v>
      </c>
      <c r="U2" s="235"/>
      <c r="V2" s="4027"/>
      <c r="W2" s="4028"/>
      <c r="X2" s="4028"/>
      <c r="Y2" s="4028"/>
      <c r="Z2" s="4028"/>
      <c r="AA2" s="4028"/>
      <c r="AB2" s="4029"/>
      <c r="AC2" s="4027" t="e">
        <f>INDEX(PT_DIFFERENTIATION_NTAR,MATCH(A2,PT_DIFFERENTIATION_NTAR_ID,0))</f>
        <v>#N/A</v>
      </c>
      <c r="AD2" s="4028"/>
      <c r="AE2" s="4028"/>
      <c r="AF2" s="4028"/>
      <c r="AG2" s="4028"/>
      <c r="AH2" s="4028"/>
      <c r="AI2" s="4028"/>
      <c r="AJ2" s="4029"/>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9">
        <v>0</v>
      </c>
    </row>
    <row r="3" spans="1:43" ht="23.25" hidden="1" customHeight="1">
      <c r="A3" s="1287"/>
      <c r="B3" s="1287"/>
      <c r="C3" s="1287"/>
      <c r="D3" s="1287"/>
      <c r="E3" s="4034"/>
      <c r="F3" s="4033">
        <v>1</v>
      </c>
      <c r="G3" s="1287"/>
      <c r="H3" s="1287"/>
      <c r="I3" s="1287"/>
      <c r="J3" s="1287"/>
      <c r="K3" s="1287"/>
      <c r="L3" s="1288"/>
      <c r="M3" s="1289"/>
      <c r="N3" s="1289"/>
      <c r="O3" s="1289"/>
      <c r="P3" s="1377"/>
      <c r="Q3" s="286"/>
      <c r="R3" s="287"/>
      <c r="S3" s="1381" t="e">
        <f>INDEX(PT_DIFFERENTIATION_NUM_TER,MATCH(B3,PT_DIFFERENTIATION_TER_ID,0))</f>
        <v>#N/A</v>
      </c>
      <c r="T3" s="243" t="s">
        <v>605</v>
      </c>
      <c r="U3" s="235"/>
      <c r="V3" s="4027"/>
      <c r="W3" s="4028"/>
      <c r="X3" s="4028"/>
      <c r="Y3" s="4028"/>
      <c r="Z3" s="4028"/>
      <c r="AA3" s="4028"/>
      <c r="AB3" s="4029"/>
      <c r="AC3" s="4027" t="e">
        <f>INDEX(PT_DIFFERENTIATION_TER,MATCH(B3,PT_DIFFERENTIATION_TER_ID,0))</f>
        <v>#N/A</v>
      </c>
      <c r="AD3" s="4028"/>
      <c r="AE3" s="4028"/>
      <c r="AF3" s="4028"/>
      <c r="AG3" s="4028"/>
      <c r="AH3" s="4028"/>
      <c r="AI3" s="4028"/>
      <c r="AJ3" s="4029"/>
      <c r="AK3" s="1182" t="s">
        <v>606</v>
      </c>
      <c r="AM3" s="434"/>
      <c r="AN3" s="434" t="str">
        <f t="shared" si="0"/>
        <v>Территория действия тарифа</v>
      </c>
      <c r="AO3" s="434"/>
      <c r="AP3" s="434"/>
      <c r="AQ3" s="1079">
        <v>0</v>
      </c>
    </row>
    <row r="4" spans="1:43" ht="23.25" hidden="1" customHeight="1">
      <c r="A4" s="1287"/>
      <c r="B4" s="1287"/>
      <c r="C4" s="1287"/>
      <c r="D4" s="1287"/>
      <c r="E4" s="4034"/>
      <c r="F4" s="4034"/>
      <c r="G4" s="4033">
        <v>1</v>
      </c>
      <c r="H4" s="1287"/>
      <c r="I4" s="1287"/>
      <c r="J4" s="1287"/>
      <c r="K4" s="1287"/>
      <c r="L4" s="1288"/>
      <c r="M4" s="1289"/>
      <c r="N4" s="1289"/>
      <c r="O4" s="1289"/>
      <c r="P4" s="288"/>
      <c r="Q4" s="286"/>
      <c r="R4" s="287"/>
      <c r="S4" s="1381" t="e">
        <f>INDEX(PT_DIFFERENTIATION_NUM_CS,MATCH(C4,PT_DIFFERENTIATION_CS_ID,0))</f>
        <v>#N/A</v>
      </c>
      <c r="T4" s="244" t="s">
        <v>690</v>
      </c>
      <c r="U4" s="235"/>
      <c r="V4" s="4027"/>
      <c r="W4" s="4028"/>
      <c r="X4" s="4028"/>
      <c r="Y4" s="4028"/>
      <c r="Z4" s="4028"/>
      <c r="AA4" s="4028"/>
      <c r="AB4" s="4029"/>
      <c r="AC4" s="4027" t="e">
        <f>INDEX(PT_DIFFERENTIATION_CS,MATCH(C4,PT_DIFFERENTIATION_CS_ID,0))</f>
        <v>#N/A</v>
      </c>
      <c r="AD4" s="4028"/>
      <c r="AE4" s="4028"/>
      <c r="AF4" s="4028"/>
      <c r="AG4" s="4028"/>
      <c r="AH4" s="4028"/>
      <c r="AI4" s="4028"/>
      <c r="AJ4" s="4029"/>
      <c r="AK4" s="1182" t="s">
        <v>691</v>
      </c>
      <c r="AM4" s="434"/>
      <c r="AN4" s="434" t="str">
        <f t="shared" si="0"/>
        <v>Наименование централизованной системы холодного водоснабжения</v>
      </c>
      <c r="AO4" s="434"/>
      <c r="AP4" s="434"/>
      <c r="AQ4" s="1079">
        <v>0</v>
      </c>
    </row>
    <row r="5" spans="1:43" ht="23.25" hidden="1" customHeight="1">
      <c r="A5" s="1287"/>
      <c r="B5" s="1287"/>
      <c r="C5" s="1287"/>
      <c r="D5" s="1287"/>
      <c r="E5" s="4034"/>
      <c r="F5" s="4034"/>
      <c r="G5" s="4034"/>
      <c r="H5" s="4034"/>
      <c r="I5" s="4035" t="e">
        <f>S4&amp;".1"</f>
        <v>#N/A</v>
      </c>
      <c r="J5" s="1287"/>
      <c r="K5" s="1287"/>
      <c r="L5" s="1288"/>
      <c r="P5" s="4037">
        <v>1</v>
      </c>
      <c r="Q5" s="1374"/>
      <c r="R5" s="290"/>
      <c r="S5" s="1381" t="e">
        <f>$I5</f>
        <v>#N/A</v>
      </c>
      <c r="T5" s="220" t="s">
        <v>692</v>
      </c>
      <c r="U5" s="235"/>
      <c r="V5" s="4101"/>
      <c r="W5" s="4102"/>
      <c r="X5" s="4102"/>
      <c r="Y5" s="4102"/>
      <c r="Z5" s="4102"/>
      <c r="AA5" s="4102"/>
      <c r="AB5" s="4103"/>
      <c r="AC5" s="4104"/>
      <c r="AD5" s="4105"/>
      <c r="AE5" s="4105"/>
      <c r="AF5" s="4105"/>
      <c r="AG5" s="4105"/>
      <c r="AH5" s="4105"/>
      <c r="AI5" s="4105"/>
      <c r="AJ5" s="4106"/>
      <c r="AK5" s="1182" t="s">
        <v>693</v>
      </c>
      <c r="AM5" s="434"/>
      <c r="AN5" s="434" t="str">
        <f t="shared" si="0"/>
        <v>Наименование признака дифференциации</v>
      </c>
      <c r="AO5" s="434"/>
      <c r="AP5" s="434"/>
      <c r="AQ5" s="1079">
        <v>0</v>
      </c>
    </row>
    <row r="6" spans="1:43" ht="23.25" hidden="1" customHeight="1">
      <c r="A6" s="1287"/>
      <c r="B6" s="1287"/>
      <c r="C6" s="1287"/>
      <c r="D6" s="1287"/>
      <c r="E6" s="4034"/>
      <c r="F6" s="4034"/>
      <c r="G6" s="4034"/>
      <c r="H6" s="4034"/>
      <c r="I6" s="4036"/>
      <c r="J6" s="4035" t="e">
        <f>I5&amp;".1"</f>
        <v>#N/A</v>
      </c>
      <c r="K6" s="1287"/>
      <c r="L6" s="1288" t="s">
        <v>614</v>
      </c>
      <c r="P6" s="4037"/>
      <c r="Q6" s="4037">
        <v>1</v>
      </c>
      <c r="R6" s="291"/>
      <c r="S6" s="1381" t="e">
        <f>$J6</f>
        <v>#N/A</v>
      </c>
      <c r="T6" s="221" t="s">
        <v>615</v>
      </c>
      <c r="U6" s="235"/>
      <c r="V6" s="4021"/>
      <c r="W6" s="4022"/>
      <c r="X6" s="4022"/>
      <c r="Y6" s="4022"/>
      <c r="Z6" s="4022"/>
      <c r="AA6" s="4022"/>
      <c r="AB6" s="4023"/>
      <c r="AC6" s="4021"/>
      <c r="AD6" s="4022"/>
      <c r="AE6" s="4022"/>
      <c r="AF6" s="4022"/>
      <c r="AG6" s="4022"/>
      <c r="AH6" s="4022"/>
      <c r="AI6" s="4022"/>
      <c r="AJ6" s="4023"/>
      <c r="AK6" s="1231" t="s">
        <v>694</v>
      </c>
      <c r="AM6" s="434"/>
      <c r="AN6" s="434" t="str">
        <f t="shared" si="0"/>
        <v>Группа потребителей</v>
      </c>
      <c r="AO6" s="434"/>
      <c r="AP6" s="434"/>
      <c r="AQ6" s="1079">
        <v>0</v>
      </c>
    </row>
    <row r="7" spans="1:43" ht="23.25" hidden="1" customHeight="1">
      <c r="A7" s="1287"/>
      <c r="B7" s="1287"/>
      <c r="C7" s="1287"/>
      <c r="D7" s="1287"/>
      <c r="E7" s="4034"/>
      <c r="F7" s="4034"/>
      <c r="G7" s="4034"/>
      <c r="H7" s="4034"/>
      <c r="I7" s="4036"/>
      <c r="J7" s="4036"/>
      <c r="K7" s="4035" t="e">
        <f>J6&amp;".1"</f>
        <v>#N/A</v>
      </c>
      <c r="L7" s="1288"/>
      <c r="P7" s="4037"/>
      <c r="Q7" s="4037"/>
      <c r="R7" s="291">
        <v>1</v>
      </c>
      <c r="S7" s="1381" t="e">
        <f>$K7</f>
        <v>#N/A</v>
      </c>
      <c r="T7" s="1361"/>
      <c r="U7" s="235"/>
      <c r="V7" s="685"/>
      <c r="W7" s="685"/>
      <c r="X7" s="1181"/>
      <c r="Y7" s="4038"/>
      <c r="Z7" s="3899" t="s">
        <v>53</v>
      </c>
      <c r="AA7" s="4038"/>
      <c r="AB7" s="3899" t="s">
        <v>53</v>
      </c>
      <c r="AC7" s="685"/>
      <c r="AD7" s="685"/>
      <c r="AE7" s="1181"/>
      <c r="AF7" s="4038"/>
      <c r="AG7" s="3899" t="s">
        <v>53</v>
      </c>
      <c r="AH7" s="4040"/>
      <c r="AI7" s="3899" t="s">
        <v>53</v>
      </c>
      <c r="AJ7" s="1362"/>
      <c r="AK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9">
        <v>0</v>
      </c>
    </row>
    <row r="8" spans="1:43" ht="14.25" hidden="1" customHeight="1">
      <c r="A8" s="1287"/>
      <c r="B8" s="1287"/>
      <c r="C8" s="1287"/>
      <c r="D8" s="1287"/>
      <c r="E8" s="4034"/>
      <c r="F8" s="4034"/>
      <c r="G8" s="4034"/>
      <c r="H8" s="4034"/>
      <c r="I8" s="4036"/>
      <c r="J8" s="4036"/>
      <c r="K8" s="4035"/>
      <c r="L8" s="1288"/>
      <c r="P8" s="4037"/>
      <c r="Q8" s="4037"/>
      <c r="R8" s="291"/>
      <c r="S8" s="1380"/>
      <c r="T8" s="235"/>
      <c r="U8" s="235"/>
      <c r="V8" s="260"/>
      <c r="W8" s="260"/>
      <c r="X8" s="263" t="str">
        <f>Y7&amp;"-"&amp;AA7</f>
        <v>-</v>
      </c>
      <c r="Y8" s="4039"/>
      <c r="Z8" s="3899"/>
      <c r="AA8" s="4039"/>
      <c r="AB8" s="3899"/>
      <c r="AC8" s="260"/>
      <c r="AD8" s="260"/>
      <c r="AE8" s="263" t="str">
        <f>AF7&amp;"-"&amp;AH7</f>
        <v>-</v>
      </c>
      <c r="AF8" s="4039"/>
      <c r="AG8" s="3899"/>
      <c r="AH8" s="4041"/>
      <c r="AI8" s="3899"/>
      <c r="AJ8" s="1363"/>
      <c r="AK8" s="4107"/>
      <c r="AM8" s="434"/>
      <c r="AN8" s="434" t="str">
        <f t="shared" si="0"/>
        <v/>
      </c>
      <c r="AO8" s="434"/>
      <c r="AP8" s="434"/>
      <c r="AQ8" s="1079">
        <v>0</v>
      </c>
    </row>
    <row r="9" spans="1:43" ht="21" hidden="1" customHeight="1">
      <c r="A9" s="1287"/>
      <c r="B9" s="1287"/>
      <c r="C9" s="1287"/>
      <c r="D9" s="1287"/>
      <c r="E9" s="4034"/>
      <c r="F9" s="4034"/>
      <c r="G9" s="4034"/>
      <c r="H9" s="4034"/>
      <c r="I9" s="4036"/>
      <c r="J9" s="4035"/>
      <c r="K9" s="1287"/>
      <c r="L9" s="1288"/>
      <c r="P9" s="4037"/>
      <c r="Q9" s="4037"/>
      <c r="R9" s="290"/>
      <c r="S9" s="1202"/>
      <c r="T9" s="222" t="s">
        <v>695</v>
      </c>
      <c r="U9" s="301"/>
      <c r="V9" s="301"/>
      <c r="W9" s="301"/>
      <c r="X9" s="301"/>
      <c r="Y9" s="301"/>
      <c r="Z9" s="301"/>
      <c r="AA9" s="301"/>
      <c r="AB9" s="301"/>
      <c r="AC9" s="301"/>
      <c r="AD9" s="301"/>
      <c r="AE9" s="301"/>
      <c r="AF9" s="301"/>
      <c r="AG9" s="301"/>
      <c r="AH9" s="301"/>
      <c r="AI9" s="301"/>
      <c r="AJ9" s="301"/>
      <c r="AK9" s="1182" t="s">
        <v>696</v>
      </c>
      <c r="AM9" s="434"/>
      <c r="AN9" s="434" t="str">
        <f t="shared" si="0"/>
        <v>Добавить значение признака дифференциации</v>
      </c>
      <c r="AO9" s="434"/>
      <c r="AP9" s="434"/>
      <c r="AQ9" s="1079">
        <v>0</v>
      </c>
    </row>
    <row r="10" spans="1:43" ht="21" hidden="1" customHeight="1">
      <c r="A10" s="1287"/>
      <c r="B10" s="1287"/>
      <c r="C10" s="1287"/>
      <c r="D10" s="1287"/>
      <c r="E10" s="4034"/>
      <c r="F10" s="4034"/>
      <c r="G10" s="4034"/>
      <c r="H10" s="4034"/>
      <c r="I10" s="4035"/>
      <c r="J10" s="1287"/>
      <c r="K10" s="1287"/>
      <c r="L10" s="1288"/>
      <c r="P10" s="4037"/>
      <c r="Q10" s="1374"/>
      <c r="R10" s="290"/>
      <c r="S10" s="1202"/>
      <c r="T10" s="299" t="s">
        <v>620</v>
      </c>
      <c r="U10" s="301"/>
      <c r="V10" s="301"/>
      <c r="W10" s="301"/>
      <c r="X10" s="301"/>
      <c r="Y10" s="301"/>
      <c r="Z10" s="301"/>
      <c r="AA10" s="301"/>
      <c r="AB10" s="300"/>
      <c r="AC10" s="301"/>
      <c r="AD10" s="301"/>
      <c r="AE10" s="301"/>
      <c r="AF10" s="301"/>
      <c r="AG10" s="301"/>
      <c r="AH10" s="301"/>
      <c r="AI10" s="300"/>
      <c r="AJ10" s="301"/>
      <c r="AK10" s="1364"/>
      <c r="AM10" s="434"/>
      <c r="AN10" s="434" t="str">
        <f t="shared" si="0"/>
        <v>Добавить группу потребителей</v>
      </c>
      <c r="AO10" s="434"/>
      <c r="AP10" s="434"/>
      <c r="AQ10" s="1079">
        <v>0</v>
      </c>
    </row>
    <row r="11" spans="1:43" ht="21" hidden="1" customHeight="1">
      <c r="A11" s="1287"/>
      <c r="B11" s="1287"/>
      <c r="C11" s="1287"/>
      <c r="D11" s="1287"/>
      <c r="E11" s="4034"/>
      <c r="F11" s="4034"/>
      <c r="G11" s="4034"/>
      <c r="H11" s="4033"/>
      <c r="I11" s="1287"/>
      <c r="J11" s="1287"/>
      <c r="K11" s="1287"/>
      <c r="L11" s="1288"/>
      <c r="M11" s="1289"/>
      <c r="N11" s="1289"/>
      <c r="O11" s="471"/>
      <c r="P11" s="294"/>
      <c r="Q11" s="309"/>
      <c r="R11" s="289"/>
      <c r="S11" s="1202"/>
      <c r="T11" s="306" t="s">
        <v>697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9">
        <v>0</v>
      </c>
    </row>
    <row r="12" spans="1:43" s="1566" customFormat="1" ht="14.25" hidden="1" customHeight="1">
      <c r="A12" s="1267"/>
      <c r="B12" s="1267"/>
      <c r="C12" s="1238"/>
      <c r="D12" s="1238"/>
      <c r="E12" s="4034"/>
      <c r="F12" s="4033"/>
      <c r="G12" s="1238"/>
      <c r="H12" s="1238"/>
      <c r="I12" s="1238"/>
      <c r="J12" s="1238"/>
      <c r="K12" s="1238"/>
      <c r="L12" s="1382"/>
      <c r="M12" s="1245"/>
      <c r="N12" s="1245"/>
      <c r="P12" s="1240"/>
      <c r="Q12" s="1241"/>
      <c r="R12" s="1240"/>
      <c r="S12" s="1246"/>
      <c r="T12" s="1249" t="s">
        <v>236</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2">
        <v>0</v>
      </c>
    </row>
    <row r="13" spans="1:43" s="1566" customFormat="1" ht="14.25" hidden="1" customHeight="1">
      <c r="A13" s="1267"/>
      <c r="B13" s="1267"/>
      <c r="C13" s="1267"/>
      <c r="D13" s="1267"/>
      <c r="E13" s="4033"/>
      <c r="F13" s="1267"/>
      <c r="G13" s="1267"/>
      <c r="H13" s="1267"/>
      <c r="I13" s="1267"/>
      <c r="J13" s="1267"/>
      <c r="K13" s="1267"/>
      <c r="L13" s="1270"/>
      <c r="M13" s="1245"/>
      <c r="N13" s="1245"/>
      <c r="O13" s="452"/>
      <c r="P13" s="314"/>
      <c r="Q13" s="1268"/>
      <c r="R13" s="314"/>
      <c r="S13" s="1246"/>
      <c r="T13" s="1249" t="s">
        <v>286</v>
      </c>
      <c r="U13" s="1248"/>
      <c r="V13" s="1248"/>
      <c r="W13" s="1248"/>
      <c r="X13" s="1248"/>
      <c r="Y13" s="1248"/>
      <c r="Z13" s="1248"/>
      <c r="AA13" s="1248"/>
      <c r="AB13" s="1248"/>
      <c r="AC13" s="1248"/>
      <c r="AD13" s="1248"/>
      <c r="AE13" s="1248"/>
      <c r="AF13" s="1248"/>
      <c r="AG13" s="1248"/>
      <c r="AH13" s="1248"/>
      <c r="AI13" s="1248"/>
      <c r="AJ13" s="1248"/>
      <c r="AK13" s="1248"/>
      <c r="AM13" s="434"/>
      <c r="AN13" s="434" t="str">
        <f t="shared" si="0"/>
        <v>Добавить территорию для дифференциации</v>
      </c>
      <c r="AO13" s="434"/>
      <c r="AP13" s="434"/>
      <c r="AQ13" s="445">
        <v>0</v>
      </c>
    </row>
    <row r="14" spans="1:43" ht="14.25" hidden="1" customHeight="1">
      <c r="AB14" s="262"/>
      <c r="AI14" s="262"/>
      <c r="AQ14" s="1079">
        <v>0</v>
      </c>
    </row>
    <row r="15" spans="1:43" ht="14.25" hidden="1" customHeight="1">
      <c r="AC15" s="1284"/>
      <c r="AD15" s="1284"/>
      <c r="AE15" s="1285"/>
      <c r="AF15" s="4031"/>
      <c r="AG15" s="4030" t="s">
        <v>53</v>
      </c>
      <c r="AH15" s="4031"/>
      <c r="AI15" s="4030" t="s">
        <v>53</v>
      </c>
      <c r="AQ15" s="1079">
        <v>0</v>
      </c>
    </row>
    <row r="16" spans="1:43" ht="14.25" hidden="1" customHeight="1">
      <c r="AC16" s="1284"/>
      <c r="AD16" s="1284"/>
      <c r="AE16" s="263" t="str">
        <f>AF15&amp;"-"&amp;AH15</f>
        <v>-</v>
      </c>
      <c r="AF16" s="4030"/>
      <c r="AG16" s="4030"/>
      <c r="AH16" s="4030"/>
      <c r="AI16" s="4030"/>
      <c r="AQ16" s="1079">
        <v>0</v>
      </c>
    </row>
    <row r="17" spans="1:43" ht="14.25" hidden="1" customHeight="1">
      <c r="AI17" s="262"/>
      <c r="AQ17" s="1079">
        <v>0</v>
      </c>
    </row>
    <row r="18" spans="1:43" s="1290" customFormat="1" ht="22.5" hidden="1" customHeight="1">
      <c r="L18" s="1371"/>
      <c r="M18" s="1286"/>
      <c r="N18" s="1286"/>
      <c r="O18" s="1291" t="s">
        <v>622</v>
      </c>
      <c r="P18" s="1286"/>
      <c r="Q18" s="1295"/>
      <c r="R18" s="1295"/>
      <c r="S18" s="663"/>
      <c r="Y18" s="1291"/>
      <c r="AA18" s="1291"/>
      <c r="AF18" s="1291"/>
      <c r="AH18" s="1291"/>
      <c r="AL18" s="445"/>
      <c r="AM18" s="445"/>
      <c r="AN18" s="445"/>
      <c r="AO18" s="445"/>
      <c r="AP18" s="445"/>
      <c r="AQ18" s="1084">
        <v>0</v>
      </c>
    </row>
    <row r="19" spans="1:43" s="1290" customFormat="1" ht="14.25" hidden="1" customHeight="1">
      <c r="L19" s="1371"/>
      <c r="M19" s="1286"/>
      <c r="N19" s="1286"/>
      <c r="O19" s="1286"/>
      <c r="P19" s="1286"/>
      <c r="Q19" s="1295"/>
      <c r="R19" s="1295"/>
      <c r="S19" s="663"/>
      <c r="AL19" s="445"/>
      <c r="AM19" s="445"/>
      <c r="AN19" s="445"/>
      <c r="AO19" s="445"/>
      <c r="AP19" s="445"/>
      <c r="AQ19" s="1084">
        <v>0</v>
      </c>
    </row>
    <row r="20" spans="1:43" s="1290" customFormat="1" ht="12" hidden="1" customHeight="1">
      <c r="L20" s="1371"/>
      <c r="M20" s="1286"/>
      <c r="N20" s="1286"/>
      <c r="O20" s="1288" t="s">
        <v>623</v>
      </c>
      <c r="P20" s="1286"/>
      <c r="Q20" s="1366"/>
      <c r="R20" s="1366"/>
      <c r="S20" s="663"/>
      <c r="T20" s="1084" t="s">
        <v>624</v>
      </c>
      <c r="Z20" s="121" t="s">
        <v>625</v>
      </c>
      <c r="AB20" s="121" t="s">
        <v>626</v>
      </c>
      <c r="AC20" s="1084" t="s">
        <v>624</v>
      </c>
      <c r="AG20" s="121" t="s">
        <v>627</v>
      </c>
      <c r="AI20" s="121" t="s">
        <v>626</v>
      </c>
      <c r="AQ20" s="1084">
        <v>0</v>
      </c>
    </row>
    <row r="21" spans="1:43" ht="14.25" hidden="1" customHeight="1">
      <c r="O21" s="1288"/>
      <c r="AQ21" s="1079">
        <v>0</v>
      </c>
    </row>
    <row r="22" spans="1:43" ht="14.25" hidden="1" customHeight="1">
      <c r="O22" s="1288"/>
      <c r="AQ22" s="1079">
        <v>0</v>
      </c>
    </row>
    <row r="23" spans="1:43" ht="14.65" customHeight="1">
      <c r="Q23" s="310"/>
      <c r="R23" s="310"/>
      <c r="S23" s="1199"/>
      <c r="T23" s="297"/>
      <c r="U23" s="297"/>
      <c r="V23" s="443"/>
      <c r="W23" s="443"/>
      <c r="X23" s="443"/>
      <c r="Y23" s="443"/>
      <c r="Z23" s="443"/>
      <c r="AA23" s="443"/>
      <c r="AB23" s="443"/>
      <c r="AC23" s="443"/>
      <c r="AD23" s="443"/>
      <c r="AE23" s="443"/>
      <c r="AF23" s="443"/>
      <c r="AG23" s="443"/>
      <c r="AH23" s="443"/>
      <c r="AI23" s="443"/>
      <c r="AQ23" s="1079">
        <v>14</v>
      </c>
    </row>
    <row r="24" spans="1:43" ht="14.65" customHeight="1">
      <c r="Q24" s="310"/>
      <c r="R24" s="310"/>
      <c r="S24" s="40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014"/>
      <c r="U24" s="4014"/>
      <c r="V24" s="4014"/>
      <c r="W24" s="4014"/>
      <c r="X24" s="4014"/>
      <c r="Y24" s="4014"/>
      <c r="Z24" s="4014"/>
      <c r="AA24" s="4014"/>
      <c r="AB24" s="4014"/>
      <c r="AC24" s="4014"/>
      <c r="AD24" s="4014"/>
      <c r="AE24" s="4014"/>
      <c r="AF24" s="4014"/>
      <c r="AG24" s="4014"/>
      <c r="AH24" s="4014"/>
      <c r="AI24" s="1167"/>
      <c r="AQ24" s="1079">
        <v>14</v>
      </c>
    </row>
    <row r="25" spans="1:43" ht="14.65" customHeight="1">
      <c r="Q25" s="310"/>
      <c r="R25" s="310"/>
      <c r="S25" s="3987" t="str">
        <f>IF(org=0,"Не определено",org)</f>
        <v>ООО "Смоленскрегионтеплоэнерго"</v>
      </c>
      <c r="T25" s="3987"/>
      <c r="U25" s="3987"/>
      <c r="V25" s="3987"/>
      <c r="W25" s="3987"/>
      <c r="X25" s="3987"/>
      <c r="Y25" s="3987"/>
      <c r="Z25" s="3987"/>
      <c r="AA25" s="3987"/>
      <c r="AB25" s="3987"/>
      <c r="AC25" s="3987"/>
      <c r="AD25" s="3987"/>
      <c r="AE25" s="3987"/>
      <c r="AF25" s="3987"/>
      <c r="AG25" s="3987"/>
      <c r="AH25" s="3987"/>
      <c r="AI25" s="1167"/>
      <c r="AQ25" s="1079">
        <v>14</v>
      </c>
    </row>
    <row r="26" spans="1:43" ht="14.25" hidden="1" customHeight="1">
      <c r="Q26" s="310"/>
      <c r="R26" s="310"/>
      <c r="S26" s="1199"/>
      <c r="T26" s="297"/>
      <c r="U26" s="297"/>
      <c r="V26" s="257"/>
      <c r="W26" s="257"/>
      <c r="X26" s="257"/>
      <c r="Y26" s="257"/>
      <c r="Z26" s="257"/>
      <c r="AA26" s="257"/>
      <c r="AB26" s="257"/>
      <c r="AC26" s="257"/>
      <c r="AD26" s="257"/>
      <c r="AE26" s="257"/>
      <c r="AF26" s="257"/>
      <c r="AG26" s="257"/>
      <c r="AH26" s="257"/>
      <c r="AI26" s="257"/>
      <c r="AJ26" s="443"/>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4024" t="s">
        <v>29</v>
      </c>
      <c r="T27" s="4024"/>
      <c r="U27" s="1296"/>
      <c r="V27" s="4026" t="str">
        <f>IF(TITLE_NAME_OR_PR_CHANGE="",IF(TITLE_NAME_OR_PR="","",TITLE_NAME_OR_PR),TITLE_NAME_OR_PR_CHANGE)</f>
        <v/>
      </c>
      <c r="W27" s="4026"/>
      <c r="X27" s="4026"/>
      <c r="Y27" s="4026"/>
      <c r="Z27" s="4026"/>
      <c r="AA27" s="4026"/>
      <c r="AB27" s="261"/>
      <c r="AC27" s="4026" t="str">
        <f>IF(TITLE_NAME_OR_PR_CHANGE="",IF(TITLE_NAME_OR_PR="","",TITLE_NAME_OR_PR),TITLE_NAME_OR_PR_CHANGE)</f>
        <v/>
      </c>
      <c r="AD27" s="4026"/>
      <c r="AE27" s="4026"/>
      <c r="AF27" s="4026"/>
      <c r="AG27" s="4026"/>
      <c r="AH27" s="4026"/>
      <c r="AI27" s="261"/>
      <c r="AJ27" s="261"/>
      <c r="AK27" s="215"/>
      <c r="AL27" s="302"/>
      <c r="AM27" s="302"/>
      <c r="AN27" s="302"/>
      <c r="AO27" s="302"/>
      <c r="AP27" s="302"/>
      <c r="AQ27" s="352">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4024" t="s">
        <v>628</v>
      </c>
      <c r="T28" s="4024"/>
      <c r="U28" s="1296"/>
      <c r="V28" s="4025">
        <f>IF(TITLE_DATE_PR_CHANGE="",IF(TITLE_DATE_PR="","",TITLE_DATE_PR),TITLE_DATE_PR_CHANGE)</f>
        <v>45765</v>
      </c>
      <c r="W28" s="4025"/>
      <c r="X28" s="4025"/>
      <c r="Y28" s="4025"/>
      <c r="Z28" s="4025"/>
      <c r="AA28" s="4025"/>
      <c r="AB28" s="261"/>
      <c r="AC28" s="4025">
        <f>IF(TITLE_DATE_PR_CHANGE="",IF(TITLE_DATE_PR="","",TITLE_DATE_PR),TITLE_DATE_PR_CHANGE)</f>
        <v>45765</v>
      </c>
      <c r="AD28" s="4025"/>
      <c r="AE28" s="4025"/>
      <c r="AF28" s="4025"/>
      <c r="AG28" s="4025"/>
      <c r="AH28" s="4025"/>
      <c r="AI28" s="261"/>
      <c r="AJ28" s="261"/>
      <c r="AK28" s="215"/>
      <c r="AL28" s="302"/>
      <c r="AM28" s="302"/>
      <c r="AN28" s="302"/>
      <c r="AO28" s="302"/>
      <c r="AP28" s="302"/>
      <c r="AQ28" s="352">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4024" t="s">
        <v>629</v>
      </c>
      <c r="T29" s="4024"/>
      <c r="U29" s="1296"/>
      <c r="V29" s="4026" t="str">
        <f>IF(TITLE_NUMBER_PR_CHANGE="",IF(TITLE_NUMBER_PR="","",TITLE_NUMBER_PR),TITLE_NUMBER_PR_CHANGE)</f>
        <v>917</v>
      </c>
      <c r="W29" s="4026"/>
      <c r="X29" s="4026"/>
      <c r="Y29" s="4026"/>
      <c r="Z29" s="4026"/>
      <c r="AA29" s="4026"/>
      <c r="AB29" s="261"/>
      <c r="AC29" s="4026" t="str">
        <f>IF(TITLE_NUMBER_PR_CHANGE="",IF(TITLE_NUMBER_PR="","",TITLE_NUMBER_PR),TITLE_NUMBER_PR_CHANGE)</f>
        <v>917</v>
      </c>
      <c r="AD29" s="4026"/>
      <c r="AE29" s="4026"/>
      <c r="AF29" s="4026"/>
      <c r="AG29" s="4026"/>
      <c r="AH29" s="4026"/>
      <c r="AI29" s="261"/>
      <c r="AJ29" s="261"/>
      <c r="AK29" s="215"/>
      <c r="AL29" s="302"/>
      <c r="AM29" s="302"/>
      <c r="AN29" s="302"/>
      <c r="AO29" s="302"/>
      <c r="AP29" s="302"/>
      <c r="AQ29" s="352">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4024" t="s">
        <v>30</v>
      </c>
      <c r="T30" s="4024"/>
      <c r="U30" s="1296"/>
      <c r="V30" s="4026" t="str">
        <f>IF(TITLE_IST_PUB_CHANGE="",IF(TITLE_IST_PUB="","",TITLE_IST_PUB),TITLE_IST_PUB_CHANGE)</f>
        <v/>
      </c>
      <c r="W30" s="4026"/>
      <c r="X30" s="4026"/>
      <c r="Y30" s="4026"/>
      <c r="Z30" s="4026"/>
      <c r="AA30" s="4026"/>
      <c r="AB30" s="261"/>
      <c r="AC30" s="4026" t="str">
        <f>IF(TITLE_IST_PUB_CHANGE="",IF(TITLE_IST_PUB="","",TITLE_IST_PUB),TITLE_IST_PUB_CHANGE)</f>
        <v/>
      </c>
      <c r="AD30" s="4026"/>
      <c r="AE30" s="4026"/>
      <c r="AF30" s="4026"/>
      <c r="AG30" s="4026"/>
      <c r="AH30" s="4026"/>
      <c r="AI30" s="261"/>
      <c r="AJ30" s="261"/>
      <c r="AK30" s="215"/>
      <c r="AL30" s="302"/>
      <c r="AM30" s="302"/>
      <c r="AN30" s="302"/>
      <c r="AO30" s="302"/>
      <c r="AP30" s="302"/>
      <c r="AQ30" s="352">
        <v>0</v>
      </c>
    </row>
    <row r="31" spans="1:43" ht="14.25" customHeight="1">
      <c r="Q31" s="310"/>
      <c r="R31" s="310"/>
      <c r="S31" s="1199"/>
      <c r="T31" s="297"/>
      <c r="U31" s="297"/>
      <c r="V31" s="257"/>
      <c r="W31" s="257"/>
      <c r="X31" s="257"/>
      <c r="Y31" s="257"/>
      <c r="Z31" s="257"/>
      <c r="AA31" s="257"/>
      <c r="AB31" s="257"/>
      <c r="AC31" s="257"/>
      <c r="AD31" s="257"/>
      <c r="AE31" s="257"/>
      <c r="AF31" s="257"/>
      <c r="AG31" s="257"/>
      <c r="AH31" s="257"/>
      <c r="AI31" s="257"/>
      <c r="AJ31" s="443"/>
      <c r="AQ31" s="1079">
        <v>0</v>
      </c>
    </row>
    <row r="32" spans="1:43" s="1748" customFormat="1" ht="18.75" customHeight="1">
      <c r="A32" s="1292"/>
      <c r="B32" s="1292"/>
      <c r="C32" s="1292"/>
      <c r="D32" s="1292"/>
      <c r="E32" s="1292"/>
      <c r="F32" s="1292"/>
      <c r="G32" s="1292"/>
      <c r="H32" s="1292"/>
      <c r="I32" s="1292"/>
      <c r="J32" s="1292"/>
      <c r="K32" s="1292"/>
      <c r="L32" s="1293"/>
      <c r="M32" s="1292"/>
      <c r="N32" s="1292"/>
      <c r="O32" s="1292"/>
      <c r="S32" s="4024" t="s">
        <v>630</v>
      </c>
      <c r="T32" s="4024"/>
      <c r="U32" s="1296"/>
      <c r="V32" s="4025">
        <f>IF(TITLE_DATE_PR_CHANGE="",IF(TITLE_DATE_PR="","",TITLE_DATE_PR),TITLE_DATE_PR_CHANGE)</f>
        <v>45765</v>
      </c>
      <c r="W32" s="4025"/>
      <c r="X32" s="4025"/>
      <c r="Y32" s="4025"/>
      <c r="Z32" s="4025"/>
      <c r="AA32" s="4025"/>
      <c r="AB32" s="261"/>
      <c r="AC32" s="4025">
        <f>IF(TITLE_DATE_PR_CHANGE="",IF(TITLE_DATE_PR="","",TITLE_DATE_PR),TITLE_DATE_PR_CHANGE)</f>
        <v>45765</v>
      </c>
      <c r="AD32" s="4025"/>
      <c r="AE32" s="4025"/>
      <c r="AF32" s="4025"/>
      <c r="AG32" s="4025"/>
      <c r="AH32" s="4025"/>
      <c r="AI32" s="261"/>
      <c r="AJ32" s="261"/>
      <c r="AK32" s="215"/>
      <c r="AL32" s="302"/>
      <c r="AM32" s="302"/>
      <c r="AN32" s="302"/>
      <c r="AO32" s="302"/>
      <c r="AP32" s="302"/>
      <c r="AQ32" s="352">
        <v>0</v>
      </c>
    </row>
    <row r="33" spans="1:43" s="1748" customFormat="1" ht="18.75" customHeight="1">
      <c r="A33" s="1292"/>
      <c r="B33" s="1292"/>
      <c r="C33" s="1292"/>
      <c r="D33" s="1292"/>
      <c r="E33" s="1292"/>
      <c r="F33" s="1292"/>
      <c r="G33" s="1292"/>
      <c r="H33" s="1292"/>
      <c r="I33" s="1292"/>
      <c r="J33" s="1292"/>
      <c r="K33" s="1292"/>
      <c r="L33" s="1293"/>
      <c r="M33" s="1292"/>
      <c r="N33" s="1292"/>
      <c r="O33" s="1292"/>
      <c r="S33" s="4024" t="s">
        <v>631</v>
      </c>
      <c r="T33" s="4024"/>
      <c r="U33" s="1296"/>
      <c r="V33" s="4026" t="str">
        <f>IF(TITLE_NUMBER_PR_CHANGE="",IF(TITLE_NUMBER_PR="","",TITLE_NUMBER_PR),TITLE_NUMBER_PR_CHANGE)</f>
        <v>917</v>
      </c>
      <c r="W33" s="4026"/>
      <c r="X33" s="4026"/>
      <c r="Y33" s="4026"/>
      <c r="Z33" s="4026"/>
      <c r="AA33" s="4026"/>
      <c r="AB33" s="261"/>
      <c r="AC33" s="4026" t="str">
        <f>IF(TITLE_NUMBER_PR_CHANGE="",IF(TITLE_NUMBER_PR="","",TITLE_NUMBER_PR),TITLE_NUMBER_PR_CHANGE)</f>
        <v>917</v>
      </c>
      <c r="AD33" s="4026"/>
      <c r="AE33" s="4026"/>
      <c r="AF33" s="4026"/>
      <c r="AG33" s="4026"/>
      <c r="AH33" s="4026"/>
      <c r="AI33" s="261"/>
      <c r="AJ33" s="261"/>
      <c r="AK33" s="215"/>
      <c r="AL33" s="302"/>
      <c r="AM33" s="302"/>
      <c r="AN33" s="302"/>
      <c r="AO33" s="302"/>
      <c r="AP33" s="302"/>
      <c r="AQ33" s="352">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378"/>
      <c r="V34" s="261"/>
      <c r="W34" s="261"/>
      <c r="X34" s="261"/>
      <c r="Y34" s="261"/>
      <c r="Z34" s="261"/>
      <c r="AA34" s="261"/>
      <c r="AB34" s="213" t="s">
        <v>632</v>
      </c>
      <c r="AC34" s="261"/>
      <c r="AD34" s="261"/>
      <c r="AE34" s="261"/>
      <c r="AF34" s="261"/>
      <c r="AG34" s="261"/>
      <c r="AH34" s="261"/>
      <c r="AI34" s="213" t="s">
        <v>632</v>
      </c>
      <c r="AL34" s="302"/>
      <c r="AM34" s="302"/>
      <c r="AN34" s="302"/>
      <c r="AO34" s="302"/>
      <c r="AP34" s="302"/>
      <c r="AQ34" s="352">
        <v>1</v>
      </c>
    </row>
    <row r="35" spans="1:43" ht="14.65" customHeight="1">
      <c r="Q35" s="310"/>
      <c r="R35" s="310"/>
      <c r="S35" s="1199"/>
      <c r="T35" s="297"/>
      <c r="U35" s="1168"/>
      <c r="V35" s="4045"/>
      <c r="W35" s="4045"/>
      <c r="X35" s="4045"/>
      <c r="Y35" s="4045"/>
      <c r="Z35" s="4045"/>
      <c r="AA35" s="4045"/>
      <c r="AB35" s="4045"/>
      <c r="AC35" s="4045"/>
      <c r="AD35" s="4045"/>
      <c r="AE35" s="4045"/>
      <c r="AF35" s="4045"/>
      <c r="AG35" s="4045"/>
      <c r="AH35" s="4045"/>
      <c r="AI35" s="4045"/>
      <c r="AQ35" s="1079">
        <v>14</v>
      </c>
    </row>
    <row r="36" spans="1:43" ht="14.65" customHeight="1">
      <c r="Q36" s="310"/>
      <c r="R36" s="310"/>
      <c r="S36" s="3889" t="s">
        <v>508</v>
      </c>
      <c r="T36" s="3889"/>
      <c r="U36" s="3889"/>
      <c r="V36" s="3889"/>
      <c r="W36" s="3889"/>
      <c r="X36" s="3889"/>
      <c r="Y36" s="3889"/>
      <c r="Z36" s="3889"/>
      <c r="AA36" s="3889"/>
      <c r="AB36" s="3889"/>
      <c r="AC36" s="3889"/>
      <c r="AD36" s="3889"/>
      <c r="AE36" s="3889"/>
      <c r="AF36" s="3889"/>
      <c r="AG36" s="3889"/>
      <c r="AH36" s="3889"/>
      <c r="AI36" s="3889"/>
      <c r="AJ36" s="3889"/>
      <c r="AK36" s="3889" t="s">
        <v>509</v>
      </c>
      <c r="AQ36" s="1079">
        <v>14</v>
      </c>
    </row>
    <row r="37" spans="1:43" ht="14.65" customHeight="1">
      <c r="Q37" s="310"/>
      <c r="R37" s="310"/>
      <c r="S37" s="4046" t="s">
        <v>75</v>
      </c>
      <c r="T37" s="3995" t="s">
        <v>633</v>
      </c>
      <c r="U37" s="236"/>
      <c r="V37" s="4047" t="s">
        <v>634</v>
      </c>
      <c r="W37" s="4048"/>
      <c r="X37" s="4048"/>
      <c r="Y37" s="4048"/>
      <c r="Z37" s="4048"/>
      <c r="AA37" s="4049"/>
      <c r="AB37" s="4050" t="s">
        <v>635</v>
      </c>
      <c r="AC37" s="4047" t="s">
        <v>634</v>
      </c>
      <c r="AD37" s="4048"/>
      <c r="AE37" s="4048"/>
      <c r="AF37" s="4048"/>
      <c r="AG37" s="4048"/>
      <c r="AH37" s="4049"/>
      <c r="AI37" s="4050" t="s">
        <v>636</v>
      </c>
      <c r="AJ37" s="4053" t="s">
        <v>637</v>
      </c>
      <c r="AK37" s="3889"/>
      <c r="AQ37" s="1079">
        <v>14</v>
      </c>
    </row>
    <row r="38" spans="1:43" ht="35.65" customHeight="1">
      <c r="Q38" s="310"/>
      <c r="R38" s="310"/>
      <c r="S38" s="4046"/>
      <c r="T38" s="3995"/>
      <c r="U38" s="958"/>
      <c r="V38" s="1376" t="s">
        <v>698</v>
      </c>
      <c r="W38" s="3870" t="s">
        <v>640</v>
      </c>
      <c r="X38" s="3869"/>
      <c r="Y38" s="3870" t="s">
        <v>641</v>
      </c>
      <c r="Z38" s="3875"/>
      <c r="AA38" s="3869"/>
      <c r="AB38" s="4051"/>
      <c r="AC38" s="1376" t="s">
        <v>698</v>
      </c>
      <c r="AD38" s="3870" t="s">
        <v>640</v>
      </c>
      <c r="AE38" s="3869"/>
      <c r="AF38" s="3870" t="s">
        <v>641</v>
      </c>
      <c r="AG38" s="3875"/>
      <c r="AH38" s="3869"/>
      <c r="AI38" s="4051"/>
      <c r="AJ38" s="4054"/>
      <c r="AK38" s="3889"/>
      <c r="AQ38" s="1079">
        <v>34</v>
      </c>
    </row>
    <row r="39" spans="1:43" ht="35.65" customHeight="1">
      <c r="A39" s="1294"/>
      <c r="B39" s="1294" t="s">
        <v>207</v>
      </c>
      <c r="C39" s="1294" t="s">
        <v>208</v>
      </c>
      <c r="D39" s="1294" t="s">
        <v>209</v>
      </c>
      <c r="E39" s="1288" t="s">
        <v>642</v>
      </c>
      <c r="F39" s="1288" t="s">
        <v>643</v>
      </c>
      <c r="G39" s="1288" t="s">
        <v>644</v>
      </c>
      <c r="H39" s="1288"/>
      <c r="I39" s="1288" t="s">
        <v>699</v>
      </c>
      <c r="J39" s="1288" t="s">
        <v>647</v>
      </c>
      <c r="K39" s="1288" t="s">
        <v>700</v>
      </c>
      <c r="L39" s="1288" t="s">
        <v>623</v>
      </c>
      <c r="Q39" s="310"/>
      <c r="R39" s="310"/>
      <c r="S39" s="4046"/>
      <c r="T39" s="3995"/>
      <c r="U39" s="237"/>
      <c r="V39" s="1376" t="s">
        <v>701</v>
      </c>
      <c r="W39" s="1146" t="s">
        <v>702</v>
      </c>
      <c r="X39" s="1146" t="s">
        <v>703</v>
      </c>
      <c r="Y39" s="1379" t="s">
        <v>651</v>
      </c>
      <c r="Z39" s="4000" t="s">
        <v>652</v>
      </c>
      <c r="AA39" s="4013"/>
      <c r="AB39" s="4052"/>
      <c r="AC39" s="1376" t="s">
        <v>701</v>
      </c>
      <c r="AD39" s="1146" t="s">
        <v>702</v>
      </c>
      <c r="AE39" s="1146" t="s">
        <v>703</v>
      </c>
      <c r="AF39" s="1379" t="s">
        <v>651</v>
      </c>
      <c r="AG39" s="4000" t="s">
        <v>652</v>
      </c>
      <c r="AH39" s="4013"/>
      <c r="AI39" s="4052"/>
      <c r="AJ39" s="4055"/>
      <c r="AK39" s="3889"/>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184</v>
      </c>
      <c r="T40" s="1179" t="s">
        <v>89</v>
      </c>
      <c r="U40" s="1169" t="str">
        <f ca="1">OFFSET(U40,0,-1)</f>
        <v>2</v>
      </c>
      <c r="V40" s="1375">
        <f ca="1">OFFSET(V40,0,-1)+1</f>
        <v>3</v>
      </c>
      <c r="W40" s="1375">
        <f ca="1">OFFSET(W40,0,-1)+1</f>
        <v>4</v>
      </c>
      <c r="X40" s="1375">
        <f ca="1">OFFSET(X40,0,-1)+1</f>
        <v>5</v>
      </c>
      <c r="Y40" s="1375">
        <f ca="1">OFFSET(Y40,0,-1)+1</f>
        <v>6</v>
      </c>
      <c r="Z40" s="4044">
        <f ca="1">OFFSET(Z40,0,-1)+1</f>
        <v>7</v>
      </c>
      <c r="AA40" s="4044"/>
      <c r="AB40" s="1375">
        <f ca="1">OFFSET(AB40,0,-2)+1</f>
        <v>8</v>
      </c>
      <c r="AC40" s="1375">
        <f ca="1">OFFSET(AC40,0,-1)+1</f>
        <v>9</v>
      </c>
      <c r="AD40" s="1375">
        <f ca="1">OFFSET(AD40,0,-1)+1</f>
        <v>10</v>
      </c>
      <c r="AE40" s="1375">
        <f ca="1">OFFSET(AE40,0,-1)+1</f>
        <v>11</v>
      </c>
      <c r="AF40" s="1375">
        <f ca="1">OFFSET(AF40,0,-1)+1</f>
        <v>12</v>
      </c>
      <c r="AG40" s="4044">
        <f ca="1">OFFSET(AG40,0,-1)+1</f>
        <v>13</v>
      </c>
      <c r="AH40" s="4044"/>
      <c r="AI40" s="1375">
        <f ca="1">OFFSET(AI40,0,-2)+1</f>
        <v>14</v>
      </c>
      <c r="AJ40" s="1169">
        <f ca="1">OFFSET(AJ40,0,-1)</f>
        <v>14</v>
      </c>
      <c r="AK40" s="1375">
        <f ca="1">OFFSET(AK40,0,-1)+1</f>
        <v>15</v>
      </c>
      <c r="AL40" s="445"/>
      <c r="AM40" s="445"/>
      <c r="AN40" s="445"/>
      <c r="AO40" s="445"/>
      <c r="AP40" s="445"/>
      <c r="AQ40" s="430">
        <v>0</v>
      </c>
    </row>
    <row r="41" spans="1:43" ht="24" customHeight="1">
      <c r="A41" s="1287" t="s">
        <v>444</v>
      </c>
      <c r="B41" s="1287"/>
      <c r="C41" s="1287"/>
      <c r="D41" s="1287"/>
      <c r="E41" s="4033">
        <v>1</v>
      </c>
      <c r="F41" s="1287"/>
      <c r="G41" s="1287"/>
      <c r="H41" s="1287"/>
      <c r="I41" s="1287"/>
      <c r="J41" s="1287"/>
      <c r="K41" s="1287"/>
      <c r="L41" s="1288"/>
      <c r="M41" s="1289"/>
      <c r="N41" s="1289"/>
      <c r="O41" s="1289"/>
      <c r="P41" s="295"/>
      <c r="Q41" s="294"/>
      <c r="R41" s="289"/>
      <c r="S41" s="1381">
        <f>INDEX(PT_DIFFERENTIATION_NUM_NTAR,MATCH(A41,PT_DIFFERENTIATION_NTAR_ID,0))</f>
        <v>0</v>
      </c>
      <c r="T41" s="233" t="s">
        <v>195</v>
      </c>
      <c r="U41" s="235"/>
      <c r="V41" s="4027"/>
      <c r="W41" s="4028"/>
      <c r="X41" s="4028"/>
      <c r="Y41" s="4028"/>
      <c r="Z41" s="4028"/>
      <c r="AA41" s="4028"/>
      <c r="AB41" s="4029"/>
      <c r="AC41" s="4027" t="str">
        <f>INDEX(PT_DIFFERENTIATION_NTAR,MATCH(A41,PT_DIFFERENTIATION_NTAR_ID,0))</f>
        <v/>
      </c>
      <c r="AD41" s="4028"/>
      <c r="AE41" s="4028"/>
      <c r="AF41" s="4028"/>
      <c r="AG41" s="4028"/>
      <c r="AH41" s="4028"/>
      <c r="AI41" s="4028"/>
      <c r="AJ41" s="4029"/>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9">
        <v>23</v>
      </c>
    </row>
    <row r="42" spans="1:43" ht="24" customHeight="1">
      <c r="A42" s="1287" t="s">
        <v>444</v>
      </c>
      <c r="B42" s="1287" t="s">
        <v>445</v>
      </c>
      <c r="C42" s="1287"/>
      <c r="D42" s="1287"/>
      <c r="E42" s="4034"/>
      <c r="F42" s="4033">
        <v>1</v>
      </c>
      <c r="G42" s="1287"/>
      <c r="H42" s="1287"/>
      <c r="I42" s="1287"/>
      <c r="J42" s="1287"/>
      <c r="K42" s="1287"/>
      <c r="L42" s="1288"/>
      <c r="M42" s="1289"/>
      <c r="N42" s="1289"/>
      <c r="O42" s="1289"/>
      <c r="P42" s="1377"/>
      <c r="Q42" s="286"/>
      <c r="R42" s="287"/>
      <c r="S42" s="1381" t="str">
        <f>INDEX(PT_DIFFERENTIATION_NUM_TER,MATCH(B42,PT_DIFFERENTIATION_TER_ID,0))</f>
        <v>.</v>
      </c>
      <c r="T42" s="243" t="s">
        <v>605</v>
      </c>
      <c r="U42" s="235"/>
      <c r="V42" s="4027"/>
      <c r="W42" s="4028"/>
      <c r="X42" s="4028"/>
      <c r="Y42" s="4028"/>
      <c r="Z42" s="4028"/>
      <c r="AA42" s="4028"/>
      <c r="AB42" s="4029"/>
      <c r="AC42" s="4027" t="str">
        <f>INDEX(PT_DIFFERENTIATION_TER,MATCH(B42,PT_DIFFERENTIATION_TER_ID,0))</f>
        <v/>
      </c>
      <c r="AD42" s="4028"/>
      <c r="AE42" s="4028"/>
      <c r="AF42" s="4028"/>
      <c r="AG42" s="4028"/>
      <c r="AH42" s="4028"/>
      <c r="AI42" s="4028"/>
      <c r="AJ42" s="4029"/>
      <c r="AK42" s="1182" t="s">
        <v>606</v>
      </c>
      <c r="AM42" s="434"/>
      <c r="AN42" s="434" t="str">
        <f t="shared" si="1"/>
        <v>Территория действия тарифа</v>
      </c>
      <c r="AO42" s="434"/>
      <c r="AP42" s="434"/>
      <c r="AQ42" s="1079">
        <v>23</v>
      </c>
    </row>
    <row r="43" spans="1:43" ht="24" customHeight="1">
      <c r="A43" s="1287" t="s">
        <v>444</v>
      </c>
      <c r="B43" s="1287" t="s">
        <v>445</v>
      </c>
      <c r="C43" s="1287" t="s">
        <v>446</v>
      </c>
      <c r="D43" s="1287"/>
      <c r="E43" s="4034"/>
      <c r="F43" s="4034"/>
      <c r="G43" s="4033">
        <v>1</v>
      </c>
      <c r="H43" s="1287"/>
      <c r="I43" s="1287"/>
      <c r="J43" s="1287"/>
      <c r="K43" s="1287"/>
      <c r="L43" s="1288"/>
      <c r="M43" s="1289"/>
      <c r="N43" s="1289"/>
      <c r="O43" s="1289"/>
      <c r="P43" s="288"/>
      <c r="Q43" s="286"/>
      <c r="R43" s="287"/>
      <c r="S43" s="1381" t="str">
        <f>INDEX(PT_DIFFERENTIATION_NUM_CS,MATCH(C43,PT_DIFFERENTIATION_CS_ID,0))</f>
        <v>..</v>
      </c>
      <c r="T43" s="244" t="s">
        <v>690</v>
      </c>
      <c r="U43" s="235"/>
      <c r="V43" s="4027"/>
      <c r="W43" s="4028"/>
      <c r="X43" s="4028"/>
      <c r="Y43" s="4028"/>
      <c r="Z43" s="4028"/>
      <c r="AA43" s="4028"/>
      <c r="AB43" s="4029"/>
      <c r="AC43" s="4027" t="str">
        <f>INDEX(PT_DIFFERENTIATION_CS,MATCH(C43,PT_DIFFERENTIATION_CS_ID,0))</f>
        <v/>
      </c>
      <c r="AD43" s="4028"/>
      <c r="AE43" s="4028"/>
      <c r="AF43" s="4028"/>
      <c r="AG43" s="4028"/>
      <c r="AH43" s="4028"/>
      <c r="AI43" s="4028"/>
      <c r="AJ43" s="4029"/>
      <c r="AK43" s="1182" t="s">
        <v>691</v>
      </c>
      <c r="AM43" s="434"/>
      <c r="AN43" s="434" t="str">
        <f t="shared" si="1"/>
        <v>Наименование централизованной системы холодного водоснабжения</v>
      </c>
      <c r="AO43" s="434"/>
      <c r="AP43" s="434"/>
      <c r="AQ43" s="1079">
        <v>23</v>
      </c>
    </row>
    <row r="44" spans="1:43" ht="24" customHeight="1">
      <c r="A44" s="1287" t="s">
        <v>444</v>
      </c>
      <c r="B44" s="1287" t="s">
        <v>445</v>
      </c>
      <c r="C44" s="1287" t="s">
        <v>446</v>
      </c>
      <c r="D44" s="1287" t="s">
        <v>706</v>
      </c>
      <c r="E44" s="4034"/>
      <c r="F44" s="4034"/>
      <c r="G44" s="4034"/>
      <c r="H44" s="4034"/>
      <c r="I44" s="4035" t="str">
        <f>S43&amp;".1"</f>
        <v>...1</v>
      </c>
      <c r="J44" s="1287"/>
      <c r="K44" s="1287"/>
      <c r="L44" s="1288"/>
      <c r="P44" s="4037">
        <v>1</v>
      </c>
      <c r="Q44" s="1374"/>
      <c r="R44" s="290"/>
      <c r="S44" s="1381" t="str">
        <f>$I44</f>
        <v>...1</v>
      </c>
      <c r="T44" s="220" t="s">
        <v>692</v>
      </c>
      <c r="U44" s="235"/>
      <c r="V44" s="4101"/>
      <c r="W44" s="4102"/>
      <c r="X44" s="4102"/>
      <c r="Y44" s="4102"/>
      <c r="Z44" s="4102"/>
      <c r="AA44" s="4102"/>
      <c r="AB44" s="4103"/>
      <c r="AC44" s="4104"/>
      <c r="AD44" s="4105"/>
      <c r="AE44" s="4105"/>
      <c r="AF44" s="4105"/>
      <c r="AG44" s="4105"/>
      <c r="AH44" s="4105"/>
      <c r="AI44" s="4105"/>
      <c r="AJ44" s="4106"/>
      <c r="AK44" s="1182" t="s">
        <v>693</v>
      </c>
      <c r="AM44" s="434"/>
      <c r="AN44" s="434" t="str">
        <f t="shared" si="1"/>
        <v>Наименование признака дифференциации</v>
      </c>
      <c r="AO44" s="434"/>
      <c r="AP44" s="434"/>
      <c r="AQ44" s="1079">
        <v>23</v>
      </c>
    </row>
    <row r="45" spans="1:43" ht="24" customHeight="1">
      <c r="A45" s="1287" t="s">
        <v>444</v>
      </c>
      <c r="B45" s="1287" t="s">
        <v>445</v>
      </c>
      <c r="C45" s="1287" t="s">
        <v>446</v>
      </c>
      <c r="D45" s="1287" t="s">
        <v>706</v>
      </c>
      <c r="E45" s="4034"/>
      <c r="F45" s="4034"/>
      <c r="G45" s="4034"/>
      <c r="H45" s="4034"/>
      <c r="I45" s="4036"/>
      <c r="J45" s="4035" t="str">
        <f>I44&amp;".1"</f>
        <v>...1.1</v>
      </c>
      <c r="K45" s="1287"/>
      <c r="L45" s="1288" t="s">
        <v>614</v>
      </c>
      <c r="P45" s="4037"/>
      <c r="Q45" s="4037">
        <v>1</v>
      </c>
      <c r="R45" s="291"/>
      <c r="S45" s="1381" t="str">
        <f>$J45</f>
        <v>...1.1</v>
      </c>
      <c r="T45" s="221" t="s">
        <v>615</v>
      </c>
      <c r="U45" s="235"/>
      <c r="V45" s="4021"/>
      <c r="W45" s="4022"/>
      <c r="X45" s="4022"/>
      <c r="Y45" s="4022"/>
      <c r="Z45" s="4022"/>
      <c r="AA45" s="4022"/>
      <c r="AB45" s="4023"/>
      <c r="AC45" s="4021"/>
      <c r="AD45" s="4022"/>
      <c r="AE45" s="4022"/>
      <c r="AF45" s="4022"/>
      <c r="AG45" s="4022"/>
      <c r="AH45" s="4022"/>
      <c r="AI45" s="4022"/>
      <c r="AJ45" s="4023"/>
      <c r="AK45" s="1231" t="s">
        <v>694</v>
      </c>
      <c r="AM45" s="434"/>
      <c r="AN45" s="434" t="str">
        <f t="shared" si="1"/>
        <v>Группа потребителей</v>
      </c>
      <c r="AO45" s="434"/>
      <c r="AP45" s="434"/>
      <c r="AQ45" s="1079">
        <v>23</v>
      </c>
    </row>
    <row r="46" spans="1:43" ht="24" customHeight="1">
      <c r="A46" s="1287" t="s">
        <v>444</v>
      </c>
      <c r="B46" s="1287" t="s">
        <v>445</v>
      </c>
      <c r="C46" s="1287" t="s">
        <v>446</v>
      </c>
      <c r="D46" s="1287" t="s">
        <v>706</v>
      </c>
      <c r="E46" s="4034"/>
      <c r="F46" s="4034"/>
      <c r="G46" s="4034"/>
      <c r="H46" s="4034"/>
      <c r="I46" s="4036"/>
      <c r="J46" s="4036"/>
      <c r="K46" s="4035" t="str">
        <f>J45&amp;".1"</f>
        <v>...1.1.1</v>
      </c>
      <c r="L46" s="1288"/>
      <c r="P46" s="4037"/>
      <c r="Q46" s="4037"/>
      <c r="R46" s="291">
        <v>1</v>
      </c>
      <c r="S46" s="1381" t="str">
        <f>$K46</f>
        <v>...1.1.1</v>
      </c>
      <c r="T46" s="1361"/>
      <c r="U46" s="235"/>
      <c r="V46" s="685"/>
      <c r="W46" s="685"/>
      <c r="X46" s="1181"/>
      <c r="Y46" s="4038"/>
      <c r="Z46" s="3899" t="s">
        <v>53</v>
      </c>
      <c r="AA46" s="4038"/>
      <c r="AB46" s="3899" t="s">
        <v>53</v>
      </c>
      <c r="AC46" s="685"/>
      <c r="AD46" s="685"/>
      <c r="AE46" s="1181"/>
      <c r="AF46" s="4038"/>
      <c r="AG46" s="3899" t="s">
        <v>53</v>
      </c>
      <c r="AH46" s="4040"/>
      <c r="AI46" s="3899" t="s">
        <v>53</v>
      </c>
      <c r="AJ46" s="1362"/>
      <c r="AK46"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9">
        <v>23</v>
      </c>
    </row>
    <row r="47" spans="1:43" ht="0" hidden="1" customHeight="1">
      <c r="A47" s="1287" t="s">
        <v>444</v>
      </c>
      <c r="B47" s="1287" t="s">
        <v>445</v>
      </c>
      <c r="C47" s="1287" t="s">
        <v>446</v>
      </c>
      <c r="D47" s="1287" t="s">
        <v>706</v>
      </c>
      <c r="E47" s="4034"/>
      <c r="F47" s="4034"/>
      <c r="G47" s="4034"/>
      <c r="H47" s="4034"/>
      <c r="I47" s="4036"/>
      <c r="J47" s="4036"/>
      <c r="K47" s="4035"/>
      <c r="L47" s="1288"/>
      <c r="P47" s="4037"/>
      <c r="Q47" s="4037"/>
      <c r="R47" s="291"/>
      <c r="S47" s="1380"/>
      <c r="T47" s="235"/>
      <c r="U47" s="235"/>
      <c r="V47" s="260"/>
      <c r="W47" s="260"/>
      <c r="X47" s="263" t="str">
        <f>Y46&amp;"-"&amp;AA46</f>
        <v>-</v>
      </c>
      <c r="Y47" s="4039"/>
      <c r="Z47" s="3899"/>
      <c r="AA47" s="4039"/>
      <c r="AB47" s="3899"/>
      <c r="AC47" s="260"/>
      <c r="AD47" s="260"/>
      <c r="AE47" s="263" t="str">
        <f>AF46&amp;"-"&amp;AH46</f>
        <v>-</v>
      </c>
      <c r="AF47" s="4039"/>
      <c r="AG47" s="3899"/>
      <c r="AH47" s="4041"/>
      <c r="AI47" s="3899"/>
      <c r="AJ47" s="1363"/>
      <c r="AK47" s="4107"/>
      <c r="AM47" s="434"/>
      <c r="AN47" s="434" t="str">
        <f t="shared" si="1"/>
        <v/>
      </c>
      <c r="AO47" s="434"/>
      <c r="AP47" s="434"/>
      <c r="AQ47" s="1079">
        <v>0</v>
      </c>
    </row>
    <row r="48" spans="1:43" ht="21" customHeight="1">
      <c r="A48" s="1287" t="s">
        <v>444</v>
      </c>
      <c r="B48" s="1287" t="s">
        <v>445</v>
      </c>
      <c r="C48" s="1287" t="s">
        <v>446</v>
      </c>
      <c r="D48" s="1287" t="s">
        <v>706</v>
      </c>
      <c r="E48" s="4034"/>
      <c r="F48" s="4034"/>
      <c r="G48" s="4034"/>
      <c r="H48" s="4034"/>
      <c r="I48" s="4036"/>
      <c r="J48" s="4035"/>
      <c r="K48" s="1287"/>
      <c r="L48" s="1288"/>
      <c r="P48" s="4037"/>
      <c r="Q48" s="4037"/>
      <c r="R48" s="290"/>
      <c r="S48" s="1202"/>
      <c r="T48" s="222" t="s">
        <v>695</v>
      </c>
      <c r="U48" s="301"/>
      <c r="V48" s="301"/>
      <c r="W48" s="301"/>
      <c r="X48" s="301"/>
      <c r="Y48" s="301"/>
      <c r="Z48" s="301"/>
      <c r="AA48" s="301"/>
      <c r="AB48" s="301"/>
      <c r="AC48" s="301"/>
      <c r="AD48" s="301"/>
      <c r="AE48" s="301"/>
      <c r="AF48" s="301"/>
      <c r="AG48" s="301"/>
      <c r="AH48" s="301"/>
      <c r="AI48" s="301"/>
      <c r="AJ48" s="301"/>
      <c r="AK48" s="1182" t="s">
        <v>696</v>
      </c>
      <c r="AM48" s="434"/>
      <c r="AN48" s="434" t="str">
        <f t="shared" si="1"/>
        <v>Добавить значение признака дифференциации</v>
      </c>
      <c r="AO48" s="434"/>
      <c r="AP48" s="434"/>
      <c r="AQ48" s="1079">
        <v>20</v>
      </c>
    </row>
    <row r="49" spans="1:43" ht="21.95" customHeight="1">
      <c r="A49" s="1287" t="s">
        <v>444</v>
      </c>
      <c r="B49" s="1287" t="s">
        <v>445</v>
      </c>
      <c r="C49" s="1287" t="s">
        <v>446</v>
      </c>
      <c r="D49" s="1287" t="s">
        <v>706</v>
      </c>
      <c r="E49" s="4034"/>
      <c r="F49" s="4034"/>
      <c r="G49" s="4034"/>
      <c r="H49" s="4034"/>
      <c r="I49" s="4035"/>
      <c r="J49" s="1287"/>
      <c r="K49" s="1287"/>
      <c r="L49" s="1288"/>
      <c r="P49" s="4037"/>
      <c r="Q49" s="1374"/>
      <c r="R49" s="290"/>
      <c r="S49" s="1202"/>
      <c r="T49" s="299" t="s">
        <v>620</v>
      </c>
      <c r="U49" s="301"/>
      <c r="V49" s="301"/>
      <c r="W49" s="301"/>
      <c r="X49" s="301"/>
      <c r="Y49" s="301"/>
      <c r="Z49" s="301"/>
      <c r="AA49" s="301"/>
      <c r="AB49" s="300"/>
      <c r="AC49" s="301"/>
      <c r="AD49" s="301"/>
      <c r="AE49" s="301"/>
      <c r="AF49" s="301"/>
      <c r="AG49" s="301"/>
      <c r="AH49" s="301"/>
      <c r="AI49" s="300"/>
      <c r="AJ49" s="301"/>
      <c r="AK49" s="1364"/>
      <c r="AM49" s="434"/>
      <c r="AN49" s="434" t="str">
        <f t="shared" si="1"/>
        <v>Добавить группу потребителей</v>
      </c>
      <c r="AO49" s="434"/>
      <c r="AP49" s="434"/>
      <c r="AQ49" s="1079">
        <v>21</v>
      </c>
    </row>
    <row r="50" spans="1:43" ht="21.95" customHeight="1">
      <c r="A50" s="1287" t="s">
        <v>444</v>
      </c>
      <c r="B50" s="1287" t="s">
        <v>445</v>
      </c>
      <c r="C50" s="1287" t="s">
        <v>446</v>
      </c>
      <c r="D50" s="1287" t="s">
        <v>706</v>
      </c>
      <c r="E50" s="4034"/>
      <c r="F50" s="4034"/>
      <c r="G50" s="4034"/>
      <c r="H50" s="4033"/>
      <c r="I50" s="1287"/>
      <c r="J50" s="1287"/>
      <c r="K50" s="1287"/>
      <c r="L50" s="1288"/>
      <c r="M50" s="1289"/>
      <c r="N50" s="1289"/>
      <c r="O50" s="471"/>
      <c r="P50" s="294"/>
      <c r="Q50" s="309"/>
      <c r="R50" s="289"/>
      <c r="S50" s="1202"/>
      <c r="T50" s="306" t="s">
        <v>697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9">
        <v>21</v>
      </c>
    </row>
    <row r="51" spans="1:43" s="1566" customFormat="1" ht="0" hidden="1" customHeight="1">
      <c r="A51" s="1267" t="s">
        <v>444</v>
      </c>
      <c r="B51" s="1267" t="s">
        <v>445</v>
      </c>
      <c r="C51" s="1238"/>
      <c r="D51" s="1238"/>
      <c r="E51" s="4034"/>
      <c r="F51" s="4033"/>
      <c r="G51" s="1238"/>
      <c r="H51" s="1238"/>
      <c r="I51" s="1238"/>
      <c r="J51" s="1238"/>
      <c r="K51" s="1238"/>
      <c r="L51" s="1382"/>
      <c r="M51" s="1245"/>
      <c r="N51" s="1245"/>
      <c r="P51" s="1240"/>
      <c r="Q51" s="1241"/>
      <c r="R51" s="1240"/>
      <c r="S51" s="1246"/>
      <c r="T51" s="1249" t="s">
        <v>236</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2">
        <v>0</v>
      </c>
    </row>
    <row r="52" spans="1:43" s="1566" customFormat="1" ht="0" hidden="1" customHeight="1">
      <c r="A52" s="1267" t="s">
        <v>444</v>
      </c>
      <c r="B52" s="1267"/>
      <c r="C52" s="1267"/>
      <c r="D52" s="1267"/>
      <c r="E52" s="4033"/>
      <c r="F52" s="1267"/>
      <c r="G52" s="1267"/>
      <c r="H52" s="1267"/>
      <c r="I52" s="1267"/>
      <c r="J52" s="1267"/>
      <c r="K52" s="1267"/>
      <c r="L52" s="1270"/>
      <c r="M52" s="1245"/>
      <c r="N52" s="1245"/>
      <c r="O52" s="452"/>
      <c r="P52" s="314"/>
      <c r="Q52" s="1268"/>
      <c r="R52" s="314"/>
      <c r="S52" s="1246"/>
      <c r="T52" s="1249" t="s">
        <v>286</v>
      </c>
      <c r="U52" s="1248"/>
      <c r="V52" s="1248"/>
      <c r="W52" s="1248"/>
      <c r="X52" s="1248"/>
      <c r="Y52" s="1248"/>
      <c r="Z52" s="1248"/>
      <c r="AA52" s="1248"/>
      <c r="AB52" s="1248"/>
      <c r="AC52" s="1248"/>
      <c r="AD52" s="1248"/>
      <c r="AE52" s="1248"/>
      <c r="AF52" s="1248"/>
      <c r="AG52" s="1248"/>
      <c r="AH52" s="1248"/>
      <c r="AI52" s="1248"/>
      <c r="AJ52" s="1248"/>
      <c r="AK52" s="1248"/>
      <c r="AM52" s="434"/>
      <c r="AN52" s="434" t="str">
        <f t="shared" si="1"/>
        <v>Добавить территорию для дифференциации</v>
      </c>
      <c r="AO52" s="434"/>
      <c r="AP52" s="434"/>
      <c r="AQ52" s="445">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287</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2">
        <v>0</v>
      </c>
    </row>
    <row r="54" spans="1:43" ht="11.45" customHeight="1">
      <c r="M54" s="1084"/>
      <c r="N54" s="1084"/>
      <c r="O54" s="471"/>
      <c r="P54" s="1079"/>
      <c r="Q54" s="1079"/>
      <c r="R54" s="1079"/>
      <c r="S54" s="1079"/>
      <c r="AL54" s="1079"/>
      <c r="AM54" s="1079"/>
      <c r="AN54" s="1079"/>
      <c r="AO54" s="1079"/>
      <c r="AP54" s="1079"/>
      <c r="AQ54" s="1079">
        <v>11</v>
      </c>
    </row>
    <row r="55" spans="1:43" ht="14.65" customHeight="1">
      <c r="O55" s="471"/>
      <c r="S55" s="1177"/>
      <c r="T55" s="4032"/>
      <c r="U55" s="4032"/>
      <c r="V55" s="4032"/>
      <c r="W55" s="4032"/>
      <c r="X55" s="4032"/>
      <c r="Y55" s="4032"/>
      <c r="Z55" s="4032"/>
      <c r="AA55" s="4032"/>
      <c r="AB55" s="4032"/>
      <c r="AC55" s="4032"/>
      <c r="AD55" s="4032"/>
      <c r="AE55" s="4032"/>
      <c r="AF55" s="4032"/>
      <c r="AG55" s="4032"/>
      <c r="AH55" s="4032"/>
      <c r="AI55" s="4032"/>
      <c r="AJ55" s="4032"/>
      <c r="AK55" s="4032"/>
      <c r="AQ55" s="1079">
        <v>14</v>
      </c>
    </row>
    <row r="56" spans="1:43" ht="14.65" customHeight="1">
      <c r="O56" s="471"/>
      <c r="AQ56" s="1079">
        <v>14</v>
      </c>
    </row>
    <row r="57" spans="1:43" ht="14.65" customHeight="1">
      <c r="O57" s="471"/>
      <c r="S57" s="1177"/>
      <c r="T57" s="4032"/>
      <c r="U57" s="4032"/>
      <c r="V57" s="4032"/>
      <c r="W57" s="4032"/>
      <c r="X57" s="4032"/>
      <c r="Y57" s="4032"/>
      <c r="Z57" s="4032"/>
      <c r="AA57" s="4032"/>
      <c r="AB57" s="4032"/>
      <c r="AC57" s="4032"/>
      <c r="AD57" s="4032"/>
      <c r="AE57" s="4032"/>
      <c r="AF57" s="4032"/>
      <c r="AG57" s="4032"/>
      <c r="AH57" s="4032"/>
      <c r="AI57" s="4032"/>
      <c r="AJ57" s="4032"/>
      <c r="AK57" s="4032"/>
      <c r="AQ57" s="1079">
        <v>14</v>
      </c>
    </row>
    <row r="58" spans="1:43" ht="22.5" hidden="1" customHeight="1">
      <c r="A58" s="1084" t="s">
        <v>69</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79">
        <v>3</v>
      </c>
      <c r="R58" s="279">
        <v>3</v>
      </c>
      <c r="S58" s="515">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5">
        <v>10</v>
      </c>
      <c r="AM58" s="445">
        <v>10</v>
      </c>
      <c r="AN58" s="445">
        <v>10</v>
      </c>
      <c r="AO58" s="445">
        <v>10</v>
      </c>
      <c r="AP58" s="445">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4033">
        <v>1</v>
      </c>
      <c r="F2" s="1287"/>
      <c r="G2" s="1287"/>
      <c r="H2" s="1287"/>
      <c r="I2" s="1287"/>
      <c r="J2" s="1287"/>
      <c r="K2" s="1287"/>
      <c r="L2" s="1288"/>
      <c r="M2" s="1289"/>
      <c r="N2" s="1289"/>
      <c r="O2" s="1289"/>
      <c r="P2" s="295"/>
      <c r="Q2" s="294"/>
      <c r="R2" s="289"/>
      <c r="S2" s="1381" t="e">
        <f>INDEX(PT_DIFFERENTIATION_NUM_NTAR,MATCH(A2,PT_DIFFERENTIATION_NTAR_ID,0))</f>
        <v>#N/A</v>
      </c>
      <c r="T2" s="233" t="s">
        <v>195</v>
      </c>
      <c r="U2" s="235"/>
      <c r="V2" s="4027"/>
      <c r="W2" s="4028"/>
      <c r="X2" s="4028"/>
      <c r="Y2" s="4028"/>
      <c r="Z2" s="4028"/>
      <c r="AA2" s="4028"/>
      <c r="AB2" s="4029"/>
      <c r="AC2" s="4027" t="e">
        <f>INDEX(PT_DIFFERENTIATION_NTAR,MATCH(A2,PT_DIFFERENTIATION_NTAR_ID,0))</f>
        <v>#N/A</v>
      </c>
      <c r="AD2" s="4028"/>
      <c r="AE2" s="4028"/>
      <c r="AF2" s="4028"/>
      <c r="AG2" s="4028"/>
      <c r="AH2" s="4028"/>
      <c r="AI2" s="4028"/>
      <c r="AJ2" s="4029"/>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9">
        <v>0</v>
      </c>
    </row>
    <row r="3" spans="1:43" ht="23.25" hidden="1" customHeight="1">
      <c r="A3" s="1287"/>
      <c r="B3" s="1287"/>
      <c r="C3" s="1287"/>
      <c r="D3" s="1287"/>
      <c r="E3" s="4034"/>
      <c r="F3" s="4033">
        <v>1</v>
      </c>
      <c r="G3" s="1287"/>
      <c r="H3" s="1287"/>
      <c r="I3" s="1287"/>
      <c r="J3" s="1287"/>
      <c r="K3" s="1287"/>
      <c r="L3" s="1288"/>
      <c r="M3" s="1289"/>
      <c r="N3" s="1289"/>
      <c r="O3" s="1289"/>
      <c r="P3" s="1377"/>
      <c r="Q3" s="286"/>
      <c r="R3" s="287"/>
      <c r="S3" s="1381" t="e">
        <f>INDEX(PT_DIFFERENTIATION_NUM_TER,MATCH(B3,PT_DIFFERENTIATION_TER_ID,0))</f>
        <v>#N/A</v>
      </c>
      <c r="T3" s="243" t="s">
        <v>605</v>
      </c>
      <c r="U3" s="235"/>
      <c r="V3" s="4027"/>
      <c r="W3" s="4028"/>
      <c r="X3" s="4028"/>
      <c r="Y3" s="4028"/>
      <c r="Z3" s="4028"/>
      <c r="AA3" s="4028"/>
      <c r="AB3" s="4029"/>
      <c r="AC3" s="4027" t="e">
        <f>INDEX(PT_DIFFERENTIATION_TER,MATCH(B3,PT_DIFFERENTIATION_TER_ID,0))</f>
        <v>#N/A</v>
      </c>
      <c r="AD3" s="4028"/>
      <c r="AE3" s="4028"/>
      <c r="AF3" s="4028"/>
      <c r="AG3" s="4028"/>
      <c r="AH3" s="4028"/>
      <c r="AI3" s="4028"/>
      <c r="AJ3" s="4029"/>
      <c r="AK3" s="1182" t="s">
        <v>606</v>
      </c>
      <c r="AM3" s="434"/>
      <c r="AN3" s="434" t="str">
        <f t="shared" si="0"/>
        <v>Территория действия тарифа</v>
      </c>
      <c r="AO3" s="434"/>
      <c r="AP3" s="434"/>
      <c r="AQ3" s="1079">
        <v>0</v>
      </c>
    </row>
    <row r="4" spans="1:43" ht="23.25" hidden="1" customHeight="1">
      <c r="A4" s="1287"/>
      <c r="B4" s="1287"/>
      <c r="C4" s="1287"/>
      <c r="D4" s="1287"/>
      <c r="E4" s="4034"/>
      <c r="F4" s="4034"/>
      <c r="G4" s="4033">
        <v>1</v>
      </c>
      <c r="H4" s="1287"/>
      <c r="I4" s="1287"/>
      <c r="J4" s="1287"/>
      <c r="K4" s="1287"/>
      <c r="L4" s="1288"/>
      <c r="M4" s="1289"/>
      <c r="N4" s="1289"/>
      <c r="O4" s="1289"/>
      <c r="P4" s="288"/>
      <c r="Q4" s="286"/>
      <c r="R4" s="287"/>
      <c r="S4" s="1381" t="e">
        <f>INDEX(PT_DIFFERENTIATION_NUM_CS,MATCH(C4,PT_DIFFERENTIATION_CS_ID,0))</f>
        <v>#N/A</v>
      </c>
      <c r="T4" s="244" t="s">
        <v>690</v>
      </c>
      <c r="U4" s="235"/>
      <c r="V4" s="4027"/>
      <c r="W4" s="4028"/>
      <c r="X4" s="4028"/>
      <c r="Y4" s="4028"/>
      <c r="Z4" s="4028"/>
      <c r="AA4" s="4028"/>
      <c r="AB4" s="4029"/>
      <c r="AC4" s="4027" t="e">
        <f>INDEX(PT_DIFFERENTIATION_CS,MATCH(C4,PT_DIFFERENTIATION_CS_ID,0))</f>
        <v>#N/A</v>
      </c>
      <c r="AD4" s="4028"/>
      <c r="AE4" s="4028"/>
      <c r="AF4" s="4028"/>
      <c r="AG4" s="4028"/>
      <c r="AH4" s="4028"/>
      <c r="AI4" s="4028"/>
      <c r="AJ4" s="4029"/>
      <c r="AK4" s="1182" t="s">
        <v>691</v>
      </c>
      <c r="AM4" s="434"/>
      <c r="AN4" s="434" t="str">
        <f t="shared" si="0"/>
        <v>Наименование централизованной системы холодного водоснабжения</v>
      </c>
      <c r="AO4" s="434"/>
      <c r="AP4" s="434"/>
      <c r="AQ4" s="1079">
        <v>0</v>
      </c>
    </row>
    <row r="5" spans="1:43" ht="23.25" hidden="1" customHeight="1">
      <c r="A5" s="1287"/>
      <c r="B5" s="1287"/>
      <c r="C5" s="1287"/>
      <c r="D5" s="1287"/>
      <c r="E5" s="4034"/>
      <c r="F5" s="4034"/>
      <c r="G5" s="4034"/>
      <c r="H5" s="4034"/>
      <c r="I5" s="4035" t="e">
        <f>S4&amp;".1"</f>
        <v>#N/A</v>
      </c>
      <c r="J5" s="1287"/>
      <c r="K5" s="1287"/>
      <c r="L5" s="1288"/>
      <c r="P5" s="4037">
        <v>1</v>
      </c>
      <c r="Q5" s="1374"/>
      <c r="R5" s="290"/>
      <c r="S5" s="1381" t="e">
        <f>$I5</f>
        <v>#N/A</v>
      </c>
      <c r="T5" s="220" t="s">
        <v>692</v>
      </c>
      <c r="U5" s="235"/>
      <c r="V5" s="4101"/>
      <c r="W5" s="4102"/>
      <c r="X5" s="4102"/>
      <c r="Y5" s="4102"/>
      <c r="Z5" s="4102"/>
      <c r="AA5" s="4102"/>
      <c r="AB5" s="4103"/>
      <c r="AC5" s="4104"/>
      <c r="AD5" s="4105"/>
      <c r="AE5" s="4105"/>
      <c r="AF5" s="4105"/>
      <c r="AG5" s="4105"/>
      <c r="AH5" s="4105"/>
      <c r="AI5" s="4105"/>
      <c r="AJ5" s="4106"/>
      <c r="AK5" s="1182" t="s">
        <v>693</v>
      </c>
      <c r="AM5" s="434"/>
      <c r="AN5" s="434" t="str">
        <f t="shared" si="0"/>
        <v>Наименование признака дифференциации</v>
      </c>
      <c r="AO5" s="434"/>
      <c r="AP5" s="434"/>
      <c r="AQ5" s="1079">
        <v>0</v>
      </c>
    </row>
    <row r="6" spans="1:43" ht="23.25" hidden="1" customHeight="1">
      <c r="A6" s="1287"/>
      <c r="B6" s="1287"/>
      <c r="C6" s="1287"/>
      <c r="D6" s="1287"/>
      <c r="E6" s="4034"/>
      <c r="F6" s="4034"/>
      <c r="G6" s="4034"/>
      <c r="H6" s="4034"/>
      <c r="I6" s="4036"/>
      <c r="J6" s="4035" t="e">
        <f>I5&amp;".1"</f>
        <v>#N/A</v>
      </c>
      <c r="K6" s="1287"/>
      <c r="L6" s="1288" t="s">
        <v>614</v>
      </c>
      <c r="P6" s="4037"/>
      <c r="Q6" s="4037">
        <v>1</v>
      </c>
      <c r="R6" s="291"/>
      <c r="S6" s="1381" t="e">
        <f>$J6</f>
        <v>#N/A</v>
      </c>
      <c r="T6" s="221" t="s">
        <v>615</v>
      </c>
      <c r="U6" s="235"/>
      <c r="V6" s="4021"/>
      <c r="W6" s="4022"/>
      <c r="X6" s="4022"/>
      <c r="Y6" s="4022"/>
      <c r="Z6" s="4022"/>
      <c r="AA6" s="4022"/>
      <c r="AB6" s="4023"/>
      <c r="AC6" s="4021"/>
      <c r="AD6" s="4022"/>
      <c r="AE6" s="4022"/>
      <c r="AF6" s="4022"/>
      <c r="AG6" s="4022"/>
      <c r="AH6" s="4022"/>
      <c r="AI6" s="4022"/>
      <c r="AJ6" s="4023"/>
      <c r="AK6" s="1231" t="s">
        <v>694</v>
      </c>
      <c r="AM6" s="434"/>
      <c r="AN6" s="434" t="str">
        <f t="shared" si="0"/>
        <v>Группа потребителей</v>
      </c>
      <c r="AO6" s="434"/>
      <c r="AP6" s="434"/>
      <c r="AQ6" s="1079">
        <v>0</v>
      </c>
    </row>
    <row r="7" spans="1:43" ht="23.25" hidden="1" customHeight="1">
      <c r="A7" s="1287"/>
      <c r="B7" s="1287"/>
      <c r="C7" s="1287"/>
      <c r="D7" s="1287"/>
      <c r="E7" s="4034"/>
      <c r="F7" s="4034"/>
      <c r="G7" s="4034"/>
      <c r="H7" s="4034"/>
      <c r="I7" s="4036"/>
      <c r="J7" s="4036"/>
      <c r="K7" s="4035" t="e">
        <f>J6&amp;".1"</f>
        <v>#N/A</v>
      </c>
      <c r="L7" s="1288"/>
      <c r="P7" s="4037"/>
      <c r="Q7" s="4037"/>
      <c r="R7" s="291">
        <v>1</v>
      </c>
      <c r="S7" s="1381" t="e">
        <f>$K7</f>
        <v>#N/A</v>
      </c>
      <c r="T7" s="1361"/>
      <c r="U7" s="235"/>
      <c r="V7" s="685"/>
      <c r="W7" s="685"/>
      <c r="X7" s="1181"/>
      <c r="Y7" s="4038"/>
      <c r="Z7" s="3899" t="s">
        <v>53</v>
      </c>
      <c r="AA7" s="4038"/>
      <c r="AB7" s="3899" t="s">
        <v>53</v>
      </c>
      <c r="AC7" s="685"/>
      <c r="AD7" s="685"/>
      <c r="AE7" s="1181"/>
      <c r="AF7" s="4038"/>
      <c r="AG7" s="3899" t="s">
        <v>53</v>
      </c>
      <c r="AH7" s="4040"/>
      <c r="AI7" s="3899" t="s">
        <v>53</v>
      </c>
      <c r="AJ7" s="1362"/>
      <c r="AK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9">
        <v>0</v>
      </c>
    </row>
    <row r="8" spans="1:43" ht="14.25" hidden="1" customHeight="1">
      <c r="A8" s="1287"/>
      <c r="B8" s="1287"/>
      <c r="C8" s="1287"/>
      <c r="D8" s="1287"/>
      <c r="E8" s="4034"/>
      <c r="F8" s="4034"/>
      <c r="G8" s="4034"/>
      <c r="H8" s="4034"/>
      <c r="I8" s="4036"/>
      <c r="J8" s="4036"/>
      <c r="K8" s="4035"/>
      <c r="L8" s="1288"/>
      <c r="P8" s="4037"/>
      <c r="Q8" s="4037"/>
      <c r="R8" s="291"/>
      <c r="S8" s="1380"/>
      <c r="T8" s="235"/>
      <c r="U8" s="235"/>
      <c r="V8" s="260"/>
      <c r="W8" s="260"/>
      <c r="X8" s="263" t="str">
        <f>Y7&amp;"-"&amp;AA7</f>
        <v>-</v>
      </c>
      <c r="Y8" s="4039"/>
      <c r="Z8" s="3899"/>
      <c r="AA8" s="4039"/>
      <c r="AB8" s="3899"/>
      <c r="AC8" s="260"/>
      <c r="AD8" s="260"/>
      <c r="AE8" s="263" t="str">
        <f>AF7&amp;"-"&amp;AH7</f>
        <v>-</v>
      </c>
      <c r="AF8" s="4039"/>
      <c r="AG8" s="3899"/>
      <c r="AH8" s="4041"/>
      <c r="AI8" s="3899"/>
      <c r="AJ8" s="1363"/>
      <c r="AK8" s="4107"/>
      <c r="AM8" s="434"/>
      <c r="AN8" s="434" t="str">
        <f t="shared" si="0"/>
        <v/>
      </c>
      <c r="AO8" s="434"/>
      <c r="AP8" s="434"/>
      <c r="AQ8" s="1079">
        <v>0</v>
      </c>
    </row>
    <row r="9" spans="1:43" ht="21" hidden="1" customHeight="1">
      <c r="A9" s="1287"/>
      <c r="B9" s="1287"/>
      <c r="C9" s="1287"/>
      <c r="D9" s="1287"/>
      <c r="E9" s="4034"/>
      <c r="F9" s="4034"/>
      <c r="G9" s="4034"/>
      <c r="H9" s="4034"/>
      <c r="I9" s="4036"/>
      <c r="J9" s="4035"/>
      <c r="K9" s="1287"/>
      <c r="L9" s="1288"/>
      <c r="P9" s="4037"/>
      <c r="Q9" s="4037"/>
      <c r="R9" s="290"/>
      <c r="S9" s="1202"/>
      <c r="T9" s="222" t="s">
        <v>695</v>
      </c>
      <c r="U9" s="301"/>
      <c r="V9" s="301"/>
      <c r="W9" s="301"/>
      <c r="X9" s="301"/>
      <c r="Y9" s="301"/>
      <c r="Z9" s="301"/>
      <c r="AA9" s="301"/>
      <c r="AB9" s="301"/>
      <c r="AC9" s="301"/>
      <c r="AD9" s="301"/>
      <c r="AE9" s="301"/>
      <c r="AF9" s="301"/>
      <c r="AG9" s="301"/>
      <c r="AH9" s="301"/>
      <c r="AI9" s="301"/>
      <c r="AJ9" s="301"/>
      <c r="AK9" s="1182" t="s">
        <v>696</v>
      </c>
      <c r="AM9" s="434"/>
      <c r="AN9" s="434" t="str">
        <f t="shared" si="0"/>
        <v>Добавить значение признака дифференциации</v>
      </c>
      <c r="AO9" s="434"/>
      <c r="AP9" s="434"/>
      <c r="AQ9" s="1079">
        <v>0</v>
      </c>
    </row>
    <row r="10" spans="1:43" ht="21" hidden="1" customHeight="1">
      <c r="A10" s="1287"/>
      <c r="B10" s="1287"/>
      <c r="C10" s="1287"/>
      <c r="D10" s="1287"/>
      <c r="E10" s="4034"/>
      <c r="F10" s="4034"/>
      <c r="G10" s="4034"/>
      <c r="H10" s="4034"/>
      <c r="I10" s="4035"/>
      <c r="J10" s="1287"/>
      <c r="K10" s="1287"/>
      <c r="L10" s="1288"/>
      <c r="P10" s="4037"/>
      <c r="Q10" s="1374"/>
      <c r="R10" s="290"/>
      <c r="S10" s="1202"/>
      <c r="T10" s="299" t="s">
        <v>620</v>
      </c>
      <c r="U10" s="301"/>
      <c r="V10" s="301"/>
      <c r="W10" s="301"/>
      <c r="X10" s="301"/>
      <c r="Y10" s="301"/>
      <c r="Z10" s="301"/>
      <c r="AA10" s="301"/>
      <c r="AB10" s="300"/>
      <c r="AC10" s="301"/>
      <c r="AD10" s="301"/>
      <c r="AE10" s="301"/>
      <c r="AF10" s="301"/>
      <c r="AG10" s="301"/>
      <c r="AH10" s="301"/>
      <c r="AI10" s="300"/>
      <c r="AJ10" s="301"/>
      <c r="AK10" s="1364"/>
      <c r="AM10" s="434"/>
      <c r="AN10" s="434" t="str">
        <f t="shared" si="0"/>
        <v>Добавить группу потребителей</v>
      </c>
      <c r="AO10" s="434"/>
      <c r="AP10" s="434"/>
      <c r="AQ10" s="1079">
        <v>0</v>
      </c>
    </row>
    <row r="11" spans="1:43" ht="21" hidden="1" customHeight="1">
      <c r="A11" s="1287"/>
      <c r="B11" s="1287"/>
      <c r="C11" s="1287"/>
      <c r="D11" s="1287"/>
      <c r="E11" s="4034"/>
      <c r="F11" s="4034"/>
      <c r="G11" s="4034"/>
      <c r="H11" s="4033"/>
      <c r="I11" s="1287"/>
      <c r="J11" s="1287"/>
      <c r="K11" s="1287"/>
      <c r="L11" s="1288"/>
      <c r="M11" s="1289"/>
      <c r="N11" s="1289"/>
      <c r="O11" s="471"/>
      <c r="P11" s="294"/>
      <c r="Q11" s="309"/>
      <c r="R11" s="289"/>
      <c r="S11" s="1202"/>
      <c r="T11" s="306" t="s">
        <v>697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9">
        <v>0</v>
      </c>
    </row>
    <row r="12" spans="1:43" s="1566" customFormat="1" ht="14.25" hidden="1" customHeight="1">
      <c r="A12" s="1267"/>
      <c r="B12" s="1267"/>
      <c r="C12" s="1238"/>
      <c r="D12" s="1238"/>
      <c r="E12" s="4034"/>
      <c r="F12" s="4033"/>
      <c r="G12" s="1238"/>
      <c r="H12" s="1238"/>
      <c r="I12" s="1238"/>
      <c r="J12" s="1238"/>
      <c r="K12" s="1238"/>
      <c r="L12" s="1382"/>
      <c r="M12" s="1245"/>
      <c r="N12" s="1245"/>
      <c r="P12" s="1240"/>
      <c r="Q12" s="1241"/>
      <c r="R12" s="1240"/>
      <c r="S12" s="1246"/>
      <c r="T12" s="1249" t="s">
        <v>236</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2">
        <v>0</v>
      </c>
    </row>
    <row r="13" spans="1:43" s="1566" customFormat="1" ht="14.25" hidden="1" customHeight="1">
      <c r="A13" s="1267"/>
      <c r="B13" s="1267"/>
      <c r="C13" s="1267"/>
      <c r="D13" s="1267"/>
      <c r="E13" s="4033"/>
      <c r="F13" s="1267"/>
      <c r="G13" s="1267"/>
      <c r="H13" s="1267"/>
      <c r="I13" s="1267"/>
      <c r="J13" s="1267"/>
      <c r="K13" s="1267"/>
      <c r="L13" s="1270"/>
      <c r="M13" s="1245"/>
      <c r="N13" s="1245"/>
      <c r="O13" s="452"/>
      <c r="P13" s="314"/>
      <c r="Q13" s="1268"/>
      <c r="R13" s="314"/>
      <c r="S13" s="1246"/>
      <c r="T13" s="1249" t="s">
        <v>286</v>
      </c>
      <c r="U13" s="1248"/>
      <c r="V13" s="1248"/>
      <c r="W13" s="1248"/>
      <c r="X13" s="1248"/>
      <c r="Y13" s="1248"/>
      <c r="Z13" s="1248"/>
      <c r="AA13" s="1248"/>
      <c r="AB13" s="1248"/>
      <c r="AC13" s="1248"/>
      <c r="AD13" s="1248"/>
      <c r="AE13" s="1248"/>
      <c r="AF13" s="1248"/>
      <c r="AG13" s="1248"/>
      <c r="AH13" s="1248"/>
      <c r="AI13" s="1248"/>
      <c r="AJ13" s="1248"/>
      <c r="AK13" s="1248"/>
      <c r="AM13" s="434"/>
      <c r="AN13" s="434" t="str">
        <f t="shared" si="0"/>
        <v>Добавить территорию для дифференциации</v>
      </c>
      <c r="AO13" s="434"/>
      <c r="AP13" s="434"/>
      <c r="AQ13" s="445">
        <v>0</v>
      </c>
    </row>
    <row r="14" spans="1:43" ht="14.25" hidden="1" customHeight="1">
      <c r="AB14" s="262"/>
      <c r="AI14" s="262"/>
      <c r="AQ14" s="1079">
        <v>0</v>
      </c>
    </row>
    <row r="15" spans="1:43" ht="14.25" hidden="1" customHeight="1">
      <c r="AC15" s="1284"/>
      <c r="AD15" s="1284"/>
      <c r="AE15" s="1285"/>
      <c r="AF15" s="4031"/>
      <c r="AG15" s="4030" t="s">
        <v>53</v>
      </c>
      <c r="AH15" s="4031"/>
      <c r="AI15" s="4030" t="s">
        <v>53</v>
      </c>
      <c r="AQ15" s="1079">
        <v>0</v>
      </c>
    </row>
    <row r="16" spans="1:43" ht="14.25" hidden="1" customHeight="1">
      <c r="AC16" s="1284"/>
      <c r="AD16" s="1284"/>
      <c r="AE16" s="263" t="str">
        <f>AF15&amp;"-"&amp;AH15</f>
        <v>-</v>
      </c>
      <c r="AF16" s="4030"/>
      <c r="AG16" s="4030"/>
      <c r="AH16" s="4030"/>
      <c r="AI16" s="4030"/>
      <c r="AQ16" s="1079">
        <v>0</v>
      </c>
    </row>
    <row r="17" spans="1:43" ht="14.25" hidden="1" customHeight="1">
      <c r="AI17" s="262"/>
      <c r="AQ17" s="1079">
        <v>0</v>
      </c>
    </row>
    <row r="18" spans="1:43" s="1290" customFormat="1" ht="22.5" hidden="1" customHeight="1">
      <c r="L18" s="1371"/>
      <c r="M18" s="1286"/>
      <c r="N18" s="1286"/>
      <c r="O18" s="1291" t="s">
        <v>622</v>
      </c>
      <c r="P18" s="1286"/>
      <c r="Q18" s="1295"/>
      <c r="R18" s="1295"/>
      <c r="S18" s="663"/>
      <c r="Y18" s="1291"/>
      <c r="AA18" s="1291"/>
      <c r="AF18" s="1291"/>
      <c r="AH18" s="1291"/>
      <c r="AL18" s="445"/>
      <c r="AM18" s="445"/>
      <c r="AN18" s="445"/>
      <c r="AO18" s="445"/>
      <c r="AP18" s="445"/>
      <c r="AQ18" s="1084">
        <v>0</v>
      </c>
    </row>
    <row r="19" spans="1:43" s="1290" customFormat="1" ht="14.25" hidden="1" customHeight="1">
      <c r="L19" s="1371"/>
      <c r="M19" s="1286"/>
      <c r="N19" s="1286"/>
      <c r="O19" s="1286"/>
      <c r="P19" s="1286"/>
      <c r="Q19" s="1295"/>
      <c r="R19" s="1295"/>
      <c r="S19" s="663"/>
      <c r="AL19" s="445"/>
      <c r="AM19" s="445"/>
      <c r="AN19" s="445"/>
      <c r="AO19" s="445"/>
      <c r="AP19" s="445"/>
      <c r="AQ19" s="1084">
        <v>0</v>
      </c>
    </row>
    <row r="20" spans="1:43" s="1290" customFormat="1" ht="12" hidden="1" customHeight="1">
      <c r="L20" s="1371"/>
      <c r="M20" s="1286"/>
      <c r="N20" s="1286"/>
      <c r="O20" s="1288" t="s">
        <v>623</v>
      </c>
      <c r="P20" s="1286"/>
      <c r="Q20" s="1366"/>
      <c r="R20" s="1366"/>
      <c r="S20" s="663"/>
      <c r="T20" s="1084" t="s">
        <v>624</v>
      </c>
      <c r="Z20" s="121" t="s">
        <v>625</v>
      </c>
      <c r="AB20" s="121" t="s">
        <v>626</v>
      </c>
      <c r="AC20" s="1084" t="s">
        <v>624</v>
      </c>
      <c r="AG20" s="121" t="s">
        <v>627</v>
      </c>
      <c r="AI20" s="121" t="s">
        <v>626</v>
      </c>
      <c r="AQ20" s="1084">
        <v>0</v>
      </c>
    </row>
    <row r="21" spans="1:43" ht="14.25" hidden="1" customHeight="1">
      <c r="O21" s="1288"/>
      <c r="AQ21" s="1079">
        <v>0</v>
      </c>
    </row>
    <row r="22" spans="1:43" ht="14.25" hidden="1" customHeight="1">
      <c r="O22" s="1288"/>
      <c r="AQ22" s="1079">
        <v>0</v>
      </c>
    </row>
    <row r="23" spans="1:43" ht="14.65" customHeight="1">
      <c r="Q23" s="310"/>
      <c r="R23" s="310"/>
      <c r="S23" s="1199"/>
      <c r="T23" s="297"/>
      <c r="U23" s="297"/>
      <c r="V23" s="443"/>
      <c r="W23" s="443"/>
      <c r="X23" s="443"/>
      <c r="Y23" s="443"/>
      <c r="Z23" s="443"/>
      <c r="AA23" s="443"/>
      <c r="AB23" s="443"/>
      <c r="AC23" s="443"/>
      <c r="AD23" s="443"/>
      <c r="AE23" s="443"/>
      <c r="AF23" s="443"/>
      <c r="AG23" s="443"/>
      <c r="AH23" s="443"/>
      <c r="AI23" s="443"/>
      <c r="AQ23" s="1079">
        <v>14</v>
      </c>
    </row>
    <row r="24" spans="1:43" ht="14.65" customHeight="1">
      <c r="Q24" s="310"/>
      <c r="R24" s="310"/>
      <c r="S24" s="40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4014"/>
      <c r="U24" s="4014"/>
      <c r="V24" s="4014"/>
      <c r="W24" s="4014"/>
      <c r="X24" s="4014"/>
      <c r="Y24" s="4014"/>
      <c r="Z24" s="4014"/>
      <c r="AA24" s="4014"/>
      <c r="AB24" s="4014"/>
      <c r="AC24" s="4014"/>
      <c r="AD24" s="4014"/>
      <c r="AE24" s="4014"/>
      <c r="AF24" s="4014"/>
      <c r="AG24" s="4014"/>
      <c r="AH24" s="4014"/>
      <c r="AI24" s="1167"/>
      <c r="AQ24" s="1079">
        <v>14</v>
      </c>
    </row>
    <row r="25" spans="1:43" ht="14.65" customHeight="1">
      <c r="Q25" s="310"/>
      <c r="R25" s="310"/>
      <c r="S25" s="3987" t="str">
        <f>IF(org=0,"Не определено",org)</f>
        <v>ООО "Смоленскрегионтеплоэнерго"</v>
      </c>
      <c r="T25" s="3987"/>
      <c r="U25" s="3987"/>
      <c r="V25" s="3987"/>
      <c r="W25" s="3987"/>
      <c r="X25" s="3987"/>
      <c r="Y25" s="3987"/>
      <c r="Z25" s="3987"/>
      <c r="AA25" s="3987"/>
      <c r="AB25" s="3987"/>
      <c r="AC25" s="3987"/>
      <c r="AD25" s="3987"/>
      <c r="AE25" s="3987"/>
      <c r="AF25" s="3987"/>
      <c r="AG25" s="3987"/>
      <c r="AH25" s="3987"/>
      <c r="AI25" s="1167"/>
      <c r="AQ25" s="1079">
        <v>14</v>
      </c>
    </row>
    <row r="26" spans="1:43" ht="14.25" hidden="1" customHeight="1">
      <c r="Q26" s="310"/>
      <c r="R26" s="310"/>
      <c r="S26" s="1199"/>
      <c r="T26" s="297"/>
      <c r="U26" s="297"/>
      <c r="V26" s="257"/>
      <c r="W26" s="257"/>
      <c r="X26" s="257"/>
      <c r="Y26" s="257"/>
      <c r="Z26" s="257"/>
      <c r="AA26" s="257"/>
      <c r="AB26" s="257"/>
      <c r="AC26" s="257"/>
      <c r="AD26" s="257"/>
      <c r="AE26" s="257"/>
      <c r="AF26" s="257"/>
      <c r="AG26" s="257"/>
      <c r="AH26" s="257"/>
      <c r="AI26" s="257"/>
      <c r="AJ26" s="443"/>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4024" t="s">
        <v>29</v>
      </c>
      <c r="T27" s="4024"/>
      <c r="U27" s="1296"/>
      <c r="V27" s="4026" t="str">
        <f>IF(TITLE_NAME_OR_PR_CHANGE="",IF(TITLE_NAME_OR_PR="","",TITLE_NAME_OR_PR),TITLE_NAME_OR_PR_CHANGE)</f>
        <v/>
      </c>
      <c r="W27" s="4026"/>
      <c r="X27" s="4026"/>
      <c r="Y27" s="4026"/>
      <c r="Z27" s="4026"/>
      <c r="AA27" s="4026"/>
      <c r="AB27" s="261"/>
      <c r="AC27" s="4026" t="str">
        <f>IF(TITLE_NAME_OR_PR_CHANGE="",IF(TITLE_NAME_OR_PR="","",TITLE_NAME_OR_PR),TITLE_NAME_OR_PR_CHANGE)</f>
        <v/>
      </c>
      <c r="AD27" s="4026"/>
      <c r="AE27" s="4026"/>
      <c r="AF27" s="4026"/>
      <c r="AG27" s="4026"/>
      <c r="AH27" s="4026"/>
      <c r="AI27" s="261"/>
      <c r="AJ27" s="261"/>
      <c r="AK27" s="215"/>
      <c r="AL27" s="302"/>
      <c r="AM27" s="302"/>
      <c r="AN27" s="302"/>
      <c r="AO27" s="302"/>
      <c r="AP27" s="302"/>
      <c r="AQ27" s="352">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4024" t="s">
        <v>628</v>
      </c>
      <c r="T28" s="4024"/>
      <c r="U28" s="1296"/>
      <c r="V28" s="4025">
        <f>IF(TITLE_DATE_PR_CHANGE="",IF(TITLE_DATE_PR="","",TITLE_DATE_PR),TITLE_DATE_PR_CHANGE)</f>
        <v>45765</v>
      </c>
      <c r="W28" s="4025"/>
      <c r="X28" s="4025"/>
      <c r="Y28" s="4025"/>
      <c r="Z28" s="4025"/>
      <c r="AA28" s="4025"/>
      <c r="AB28" s="261"/>
      <c r="AC28" s="4025">
        <f>IF(TITLE_DATE_PR_CHANGE="",IF(TITLE_DATE_PR="","",TITLE_DATE_PR),TITLE_DATE_PR_CHANGE)</f>
        <v>45765</v>
      </c>
      <c r="AD28" s="4025"/>
      <c r="AE28" s="4025"/>
      <c r="AF28" s="4025"/>
      <c r="AG28" s="4025"/>
      <c r="AH28" s="4025"/>
      <c r="AI28" s="261"/>
      <c r="AJ28" s="261"/>
      <c r="AK28" s="215"/>
      <c r="AL28" s="302"/>
      <c r="AM28" s="302"/>
      <c r="AN28" s="302"/>
      <c r="AO28" s="302"/>
      <c r="AP28" s="302"/>
      <c r="AQ28" s="352">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4024" t="s">
        <v>629</v>
      </c>
      <c r="T29" s="4024"/>
      <c r="U29" s="1296"/>
      <c r="V29" s="4026" t="str">
        <f>IF(TITLE_NUMBER_PR_CHANGE="",IF(TITLE_NUMBER_PR="","",TITLE_NUMBER_PR),TITLE_NUMBER_PR_CHANGE)</f>
        <v>917</v>
      </c>
      <c r="W29" s="4026"/>
      <c r="X29" s="4026"/>
      <c r="Y29" s="4026"/>
      <c r="Z29" s="4026"/>
      <c r="AA29" s="4026"/>
      <c r="AB29" s="261"/>
      <c r="AC29" s="4026" t="str">
        <f>IF(TITLE_NUMBER_PR_CHANGE="",IF(TITLE_NUMBER_PR="","",TITLE_NUMBER_PR),TITLE_NUMBER_PR_CHANGE)</f>
        <v>917</v>
      </c>
      <c r="AD29" s="4026"/>
      <c r="AE29" s="4026"/>
      <c r="AF29" s="4026"/>
      <c r="AG29" s="4026"/>
      <c r="AH29" s="4026"/>
      <c r="AI29" s="261"/>
      <c r="AJ29" s="261"/>
      <c r="AK29" s="215"/>
      <c r="AL29" s="302"/>
      <c r="AM29" s="302"/>
      <c r="AN29" s="302"/>
      <c r="AO29" s="302"/>
      <c r="AP29" s="302"/>
      <c r="AQ29" s="352">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4024" t="s">
        <v>30</v>
      </c>
      <c r="T30" s="4024"/>
      <c r="U30" s="1296"/>
      <c r="V30" s="4026" t="str">
        <f>IF(TITLE_IST_PUB_CHANGE="",IF(TITLE_IST_PUB="","",TITLE_IST_PUB),TITLE_IST_PUB_CHANGE)</f>
        <v/>
      </c>
      <c r="W30" s="4026"/>
      <c r="X30" s="4026"/>
      <c r="Y30" s="4026"/>
      <c r="Z30" s="4026"/>
      <c r="AA30" s="4026"/>
      <c r="AB30" s="261"/>
      <c r="AC30" s="4026" t="str">
        <f>IF(TITLE_IST_PUB_CHANGE="",IF(TITLE_IST_PUB="","",TITLE_IST_PUB),TITLE_IST_PUB_CHANGE)</f>
        <v/>
      </c>
      <c r="AD30" s="4026"/>
      <c r="AE30" s="4026"/>
      <c r="AF30" s="4026"/>
      <c r="AG30" s="4026"/>
      <c r="AH30" s="4026"/>
      <c r="AI30" s="261"/>
      <c r="AJ30" s="261"/>
      <c r="AK30" s="215"/>
      <c r="AL30" s="302"/>
      <c r="AM30" s="302"/>
      <c r="AN30" s="302"/>
      <c r="AO30" s="302"/>
      <c r="AP30" s="302"/>
      <c r="AQ30" s="352">
        <v>0</v>
      </c>
    </row>
    <row r="31" spans="1:43" ht="14.25" customHeight="1">
      <c r="Q31" s="310"/>
      <c r="R31" s="310"/>
      <c r="S31" s="1199"/>
      <c r="T31" s="297"/>
      <c r="U31" s="297"/>
      <c r="V31" s="257"/>
      <c r="W31" s="257"/>
      <c r="X31" s="257"/>
      <c r="Y31" s="257"/>
      <c r="Z31" s="257"/>
      <c r="AA31" s="257"/>
      <c r="AB31" s="257"/>
      <c r="AC31" s="257"/>
      <c r="AD31" s="257"/>
      <c r="AE31" s="257"/>
      <c r="AF31" s="257"/>
      <c r="AG31" s="257"/>
      <c r="AH31" s="257"/>
      <c r="AI31" s="257"/>
      <c r="AJ31" s="443"/>
      <c r="AQ31" s="1079">
        <v>0</v>
      </c>
    </row>
    <row r="32" spans="1:43" s="1748" customFormat="1" ht="18.75" customHeight="1">
      <c r="A32" s="1292"/>
      <c r="B32" s="1292"/>
      <c r="C32" s="1292"/>
      <c r="D32" s="1292"/>
      <c r="E32" s="1292"/>
      <c r="F32" s="1292"/>
      <c r="G32" s="1292"/>
      <c r="H32" s="1292"/>
      <c r="I32" s="1292"/>
      <c r="J32" s="1292"/>
      <c r="K32" s="1292"/>
      <c r="L32" s="1293"/>
      <c r="M32" s="1292"/>
      <c r="N32" s="1292"/>
      <c r="O32" s="1292"/>
      <c r="S32" s="4024" t="s">
        <v>630</v>
      </c>
      <c r="T32" s="4024"/>
      <c r="U32" s="1296"/>
      <c r="V32" s="4025">
        <f>IF(TITLE_DATE_PR_CHANGE="",IF(TITLE_DATE_PR="","",TITLE_DATE_PR),TITLE_DATE_PR_CHANGE)</f>
        <v>45765</v>
      </c>
      <c r="W32" s="4025"/>
      <c r="X32" s="4025"/>
      <c r="Y32" s="4025"/>
      <c r="Z32" s="4025"/>
      <c r="AA32" s="4025"/>
      <c r="AB32" s="261"/>
      <c r="AC32" s="4025">
        <f>IF(TITLE_DATE_PR_CHANGE="",IF(TITLE_DATE_PR="","",TITLE_DATE_PR),TITLE_DATE_PR_CHANGE)</f>
        <v>45765</v>
      </c>
      <c r="AD32" s="4025"/>
      <c r="AE32" s="4025"/>
      <c r="AF32" s="4025"/>
      <c r="AG32" s="4025"/>
      <c r="AH32" s="4025"/>
      <c r="AI32" s="261"/>
      <c r="AJ32" s="261"/>
      <c r="AK32" s="215"/>
      <c r="AL32" s="302"/>
      <c r="AM32" s="302"/>
      <c r="AN32" s="302"/>
      <c r="AO32" s="302"/>
      <c r="AP32" s="302"/>
      <c r="AQ32" s="352">
        <v>0</v>
      </c>
    </row>
    <row r="33" spans="1:43" s="1748" customFormat="1" ht="18.75" customHeight="1">
      <c r="A33" s="1292"/>
      <c r="B33" s="1292"/>
      <c r="C33" s="1292"/>
      <c r="D33" s="1292"/>
      <c r="E33" s="1292"/>
      <c r="F33" s="1292"/>
      <c r="G33" s="1292"/>
      <c r="H33" s="1292"/>
      <c r="I33" s="1292"/>
      <c r="J33" s="1292"/>
      <c r="K33" s="1292"/>
      <c r="L33" s="1293"/>
      <c r="M33" s="1292"/>
      <c r="N33" s="1292"/>
      <c r="O33" s="1292"/>
      <c r="S33" s="4024" t="s">
        <v>631</v>
      </c>
      <c r="T33" s="4024"/>
      <c r="U33" s="1296"/>
      <c r="V33" s="4026" t="str">
        <f>IF(TITLE_NUMBER_PR_CHANGE="",IF(TITLE_NUMBER_PR="","",TITLE_NUMBER_PR),TITLE_NUMBER_PR_CHANGE)</f>
        <v>917</v>
      </c>
      <c r="W33" s="4026"/>
      <c r="X33" s="4026"/>
      <c r="Y33" s="4026"/>
      <c r="Z33" s="4026"/>
      <c r="AA33" s="4026"/>
      <c r="AB33" s="261"/>
      <c r="AC33" s="4026" t="str">
        <f>IF(TITLE_NUMBER_PR_CHANGE="",IF(TITLE_NUMBER_PR="","",TITLE_NUMBER_PR),TITLE_NUMBER_PR_CHANGE)</f>
        <v>917</v>
      </c>
      <c r="AD33" s="4026"/>
      <c r="AE33" s="4026"/>
      <c r="AF33" s="4026"/>
      <c r="AG33" s="4026"/>
      <c r="AH33" s="4026"/>
      <c r="AI33" s="261"/>
      <c r="AJ33" s="261"/>
      <c r="AK33" s="215"/>
      <c r="AL33" s="302"/>
      <c r="AM33" s="302"/>
      <c r="AN33" s="302"/>
      <c r="AO33" s="302"/>
      <c r="AP33" s="302"/>
      <c r="AQ33" s="352">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378"/>
      <c r="V34" s="261"/>
      <c r="W34" s="261"/>
      <c r="X34" s="261"/>
      <c r="Y34" s="261"/>
      <c r="Z34" s="261"/>
      <c r="AA34" s="261"/>
      <c r="AB34" s="213" t="s">
        <v>632</v>
      </c>
      <c r="AC34" s="261"/>
      <c r="AD34" s="261"/>
      <c r="AE34" s="261"/>
      <c r="AF34" s="261"/>
      <c r="AG34" s="261"/>
      <c r="AH34" s="261"/>
      <c r="AI34" s="213" t="s">
        <v>632</v>
      </c>
      <c r="AL34" s="302"/>
      <c r="AM34" s="302"/>
      <c r="AN34" s="302"/>
      <c r="AO34" s="302"/>
      <c r="AP34" s="302"/>
      <c r="AQ34" s="352">
        <v>1</v>
      </c>
    </row>
    <row r="35" spans="1:43" ht="14.65" customHeight="1">
      <c r="Q35" s="310"/>
      <c r="R35" s="310"/>
      <c r="S35" s="1199"/>
      <c r="T35" s="297"/>
      <c r="U35" s="1168"/>
      <c r="V35" s="4045"/>
      <c r="W35" s="4045"/>
      <c r="X35" s="4045"/>
      <c r="Y35" s="4045"/>
      <c r="Z35" s="4045"/>
      <c r="AA35" s="4045"/>
      <c r="AB35" s="4045"/>
      <c r="AC35" s="4045"/>
      <c r="AD35" s="4045"/>
      <c r="AE35" s="4045"/>
      <c r="AF35" s="4045"/>
      <c r="AG35" s="4045"/>
      <c r="AH35" s="4045"/>
      <c r="AI35" s="4045"/>
      <c r="AQ35" s="1079">
        <v>14</v>
      </c>
    </row>
    <row r="36" spans="1:43" ht="14.65" customHeight="1">
      <c r="Q36" s="310"/>
      <c r="R36" s="310"/>
      <c r="S36" s="3889" t="s">
        <v>508</v>
      </c>
      <c r="T36" s="3889"/>
      <c r="U36" s="3889"/>
      <c r="V36" s="3889"/>
      <c r="W36" s="3889"/>
      <c r="X36" s="3889"/>
      <c r="Y36" s="3889"/>
      <c r="Z36" s="3889"/>
      <c r="AA36" s="3889"/>
      <c r="AB36" s="3889"/>
      <c r="AC36" s="3889"/>
      <c r="AD36" s="3889"/>
      <c r="AE36" s="3889"/>
      <c r="AF36" s="3889"/>
      <c r="AG36" s="3889"/>
      <c r="AH36" s="3889"/>
      <c r="AI36" s="3889"/>
      <c r="AJ36" s="3889"/>
      <c r="AK36" s="3889" t="s">
        <v>509</v>
      </c>
      <c r="AQ36" s="1079">
        <v>14</v>
      </c>
    </row>
    <row r="37" spans="1:43" ht="14.65" customHeight="1">
      <c r="Q37" s="310"/>
      <c r="R37" s="310"/>
      <c r="S37" s="4046" t="s">
        <v>75</v>
      </c>
      <c r="T37" s="3995" t="s">
        <v>633</v>
      </c>
      <c r="U37" s="236"/>
      <c r="V37" s="4047" t="s">
        <v>634</v>
      </c>
      <c r="W37" s="4048"/>
      <c r="X37" s="4048"/>
      <c r="Y37" s="4048"/>
      <c r="Z37" s="4048"/>
      <c r="AA37" s="4049"/>
      <c r="AB37" s="4050" t="s">
        <v>635</v>
      </c>
      <c r="AC37" s="4047" t="s">
        <v>634</v>
      </c>
      <c r="AD37" s="4048"/>
      <c r="AE37" s="4048"/>
      <c r="AF37" s="4048"/>
      <c r="AG37" s="4048"/>
      <c r="AH37" s="4049"/>
      <c r="AI37" s="4050" t="s">
        <v>636</v>
      </c>
      <c r="AJ37" s="4053" t="s">
        <v>637</v>
      </c>
      <c r="AK37" s="3889"/>
      <c r="AQ37" s="1079">
        <v>14</v>
      </c>
    </row>
    <row r="38" spans="1:43" ht="35.65" customHeight="1">
      <c r="Q38" s="310"/>
      <c r="R38" s="310"/>
      <c r="S38" s="4046"/>
      <c r="T38" s="3995"/>
      <c r="U38" s="958"/>
      <c r="V38" s="1376" t="s">
        <v>698</v>
      </c>
      <c r="W38" s="3870" t="s">
        <v>640</v>
      </c>
      <c r="X38" s="3869"/>
      <c r="Y38" s="3870" t="s">
        <v>641</v>
      </c>
      <c r="Z38" s="3875"/>
      <c r="AA38" s="3869"/>
      <c r="AB38" s="4051"/>
      <c r="AC38" s="1376" t="s">
        <v>698</v>
      </c>
      <c r="AD38" s="3870" t="s">
        <v>640</v>
      </c>
      <c r="AE38" s="3869"/>
      <c r="AF38" s="3870" t="s">
        <v>641</v>
      </c>
      <c r="AG38" s="3875"/>
      <c r="AH38" s="3869"/>
      <c r="AI38" s="4051"/>
      <c r="AJ38" s="4054"/>
      <c r="AK38" s="3889"/>
      <c r="AQ38" s="1079">
        <v>34</v>
      </c>
    </row>
    <row r="39" spans="1:43" ht="35.65" customHeight="1">
      <c r="A39" s="1294"/>
      <c r="B39" s="1294" t="s">
        <v>207</v>
      </c>
      <c r="C39" s="1294" t="s">
        <v>208</v>
      </c>
      <c r="D39" s="1294" t="s">
        <v>209</v>
      </c>
      <c r="E39" s="1288" t="s">
        <v>642</v>
      </c>
      <c r="F39" s="1288" t="s">
        <v>643</v>
      </c>
      <c r="G39" s="1288" t="s">
        <v>644</v>
      </c>
      <c r="H39" s="1288"/>
      <c r="I39" s="1288" t="s">
        <v>699</v>
      </c>
      <c r="J39" s="1288" t="s">
        <v>647</v>
      </c>
      <c r="K39" s="1288" t="s">
        <v>700</v>
      </c>
      <c r="L39" s="1288" t="s">
        <v>623</v>
      </c>
      <c r="Q39" s="310"/>
      <c r="R39" s="310"/>
      <c r="S39" s="4046"/>
      <c r="T39" s="3995"/>
      <c r="U39" s="237"/>
      <c r="V39" s="1376" t="s">
        <v>701</v>
      </c>
      <c r="W39" s="1146" t="s">
        <v>702</v>
      </c>
      <c r="X39" s="1146" t="s">
        <v>703</v>
      </c>
      <c r="Y39" s="1379" t="s">
        <v>651</v>
      </c>
      <c r="Z39" s="4000" t="s">
        <v>652</v>
      </c>
      <c r="AA39" s="4013"/>
      <c r="AB39" s="4052"/>
      <c r="AC39" s="1376" t="s">
        <v>701</v>
      </c>
      <c r="AD39" s="1146" t="s">
        <v>702</v>
      </c>
      <c r="AE39" s="1146" t="s">
        <v>703</v>
      </c>
      <c r="AF39" s="1379" t="s">
        <v>651</v>
      </c>
      <c r="AG39" s="4000" t="s">
        <v>652</v>
      </c>
      <c r="AH39" s="4013"/>
      <c r="AI39" s="4052"/>
      <c r="AJ39" s="4055"/>
      <c r="AK39" s="3889"/>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184</v>
      </c>
      <c r="T40" s="1179" t="s">
        <v>89</v>
      </c>
      <c r="U40" s="1169" t="str">
        <f ca="1">OFFSET(U40,0,-1)</f>
        <v>2</v>
      </c>
      <c r="V40" s="1375">
        <f ca="1">OFFSET(V40,0,-1)+1</f>
        <v>3</v>
      </c>
      <c r="W40" s="1375">
        <f ca="1">OFFSET(W40,0,-1)+1</f>
        <v>4</v>
      </c>
      <c r="X40" s="1375">
        <f ca="1">OFFSET(X40,0,-1)+1</f>
        <v>5</v>
      </c>
      <c r="Y40" s="1375">
        <f ca="1">OFFSET(Y40,0,-1)+1</f>
        <v>6</v>
      </c>
      <c r="Z40" s="4044">
        <f ca="1">OFFSET(Z40,0,-1)+1</f>
        <v>7</v>
      </c>
      <c r="AA40" s="4044"/>
      <c r="AB40" s="1375">
        <f ca="1">OFFSET(AB40,0,-2)+1</f>
        <v>8</v>
      </c>
      <c r="AC40" s="1375">
        <f ca="1">OFFSET(AC40,0,-1)+1</f>
        <v>9</v>
      </c>
      <c r="AD40" s="1375">
        <f ca="1">OFFSET(AD40,0,-1)+1</f>
        <v>10</v>
      </c>
      <c r="AE40" s="1375">
        <f ca="1">OFFSET(AE40,0,-1)+1</f>
        <v>11</v>
      </c>
      <c r="AF40" s="1375">
        <f ca="1">OFFSET(AF40,0,-1)+1</f>
        <v>12</v>
      </c>
      <c r="AG40" s="4044">
        <f ca="1">OFFSET(AG40,0,-1)+1</f>
        <v>13</v>
      </c>
      <c r="AH40" s="4044"/>
      <c r="AI40" s="1375">
        <f ca="1">OFFSET(AI40,0,-2)+1</f>
        <v>14</v>
      </c>
      <c r="AJ40" s="1169">
        <f ca="1">OFFSET(AJ40,0,-1)</f>
        <v>14</v>
      </c>
      <c r="AK40" s="1375">
        <f ca="1">OFFSET(AK40,0,-1)+1</f>
        <v>15</v>
      </c>
      <c r="AL40" s="445"/>
      <c r="AM40" s="445"/>
      <c r="AN40" s="445"/>
      <c r="AO40" s="445"/>
      <c r="AP40" s="445"/>
      <c r="AQ40" s="430">
        <v>0</v>
      </c>
    </row>
    <row r="41" spans="1:43" ht="24" customHeight="1">
      <c r="A41" s="1287" t="s">
        <v>449</v>
      </c>
      <c r="B41" s="1287"/>
      <c r="C41" s="1287"/>
      <c r="D41" s="1287"/>
      <c r="E41" s="4033">
        <v>1</v>
      </c>
      <c r="F41" s="1287"/>
      <c r="G41" s="1287"/>
      <c r="H41" s="1287"/>
      <c r="I41" s="1287"/>
      <c r="J41" s="1287"/>
      <c r="K41" s="1287"/>
      <c r="L41" s="1288"/>
      <c r="M41" s="1289"/>
      <c r="N41" s="1289"/>
      <c r="O41" s="1289"/>
      <c r="P41" s="295"/>
      <c r="Q41" s="294"/>
      <c r="R41" s="289"/>
      <c r="S41" s="1381">
        <f>INDEX(PT_DIFFERENTIATION_NUM_NTAR,MATCH(A41,PT_DIFFERENTIATION_NTAR_ID,0))</f>
        <v>0</v>
      </c>
      <c r="T41" s="233" t="s">
        <v>195</v>
      </c>
      <c r="U41" s="235"/>
      <c r="V41" s="4027"/>
      <c r="W41" s="4028"/>
      <c r="X41" s="4028"/>
      <c r="Y41" s="4028"/>
      <c r="Z41" s="4028"/>
      <c r="AA41" s="4028"/>
      <c r="AB41" s="4029"/>
      <c r="AC41" s="4027" t="str">
        <f>INDEX(PT_DIFFERENTIATION_NTAR,MATCH(A41,PT_DIFFERENTIATION_NTAR_ID,0))</f>
        <v/>
      </c>
      <c r="AD41" s="4028"/>
      <c r="AE41" s="4028"/>
      <c r="AF41" s="4028"/>
      <c r="AG41" s="4028"/>
      <c r="AH41" s="4028"/>
      <c r="AI41" s="4028"/>
      <c r="AJ41" s="4029"/>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9">
        <v>23</v>
      </c>
    </row>
    <row r="42" spans="1:43" ht="24" customHeight="1">
      <c r="A42" s="1287" t="s">
        <v>449</v>
      </c>
      <c r="B42" s="1287" t="s">
        <v>450</v>
      </c>
      <c r="C42" s="1287"/>
      <c r="D42" s="1287"/>
      <c r="E42" s="4034"/>
      <c r="F42" s="4033">
        <v>1</v>
      </c>
      <c r="G42" s="1287"/>
      <c r="H42" s="1287"/>
      <c r="I42" s="1287"/>
      <c r="J42" s="1287"/>
      <c r="K42" s="1287"/>
      <c r="L42" s="1288"/>
      <c r="M42" s="1289"/>
      <c r="N42" s="1289"/>
      <c r="O42" s="1289"/>
      <c r="P42" s="1377"/>
      <c r="Q42" s="286"/>
      <c r="R42" s="287"/>
      <c r="S42" s="1381" t="str">
        <f>INDEX(PT_DIFFERENTIATION_NUM_TER,MATCH(B42,PT_DIFFERENTIATION_TER_ID,0))</f>
        <v>.</v>
      </c>
      <c r="T42" s="243" t="s">
        <v>605</v>
      </c>
      <c r="U42" s="235"/>
      <c r="V42" s="4027"/>
      <c r="W42" s="4028"/>
      <c r="X42" s="4028"/>
      <c r="Y42" s="4028"/>
      <c r="Z42" s="4028"/>
      <c r="AA42" s="4028"/>
      <c r="AB42" s="4029"/>
      <c r="AC42" s="4027" t="str">
        <f>INDEX(PT_DIFFERENTIATION_TER,MATCH(B42,PT_DIFFERENTIATION_TER_ID,0))</f>
        <v/>
      </c>
      <c r="AD42" s="4028"/>
      <c r="AE42" s="4028"/>
      <c r="AF42" s="4028"/>
      <c r="AG42" s="4028"/>
      <c r="AH42" s="4028"/>
      <c r="AI42" s="4028"/>
      <c r="AJ42" s="4029"/>
      <c r="AK42" s="1182" t="s">
        <v>606</v>
      </c>
      <c r="AM42" s="434"/>
      <c r="AN42" s="434" t="str">
        <f t="shared" si="1"/>
        <v>Территория действия тарифа</v>
      </c>
      <c r="AO42" s="434"/>
      <c r="AP42" s="434"/>
      <c r="AQ42" s="1079">
        <v>23</v>
      </c>
    </row>
    <row r="43" spans="1:43" ht="24" customHeight="1">
      <c r="A43" s="1287" t="s">
        <v>449</v>
      </c>
      <c r="B43" s="1287" t="s">
        <v>450</v>
      </c>
      <c r="C43" s="1287" t="s">
        <v>451</v>
      </c>
      <c r="D43" s="1287"/>
      <c r="E43" s="4034"/>
      <c r="F43" s="4034"/>
      <c r="G43" s="4033">
        <v>1</v>
      </c>
      <c r="H43" s="1287"/>
      <c r="I43" s="1287"/>
      <c r="J43" s="1287"/>
      <c r="K43" s="1287"/>
      <c r="L43" s="1288"/>
      <c r="M43" s="1289"/>
      <c r="N43" s="1289"/>
      <c r="O43" s="1289"/>
      <c r="P43" s="288"/>
      <c r="Q43" s="286"/>
      <c r="R43" s="287"/>
      <c r="S43" s="1381" t="str">
        <f>INDEX(PT_DIFFERENTIATION_NUM_CS,MATCH(C43,PT_DIFFERENTIATION_CS_ID,0))</f>
        <v>..</v>
      </c>
      <c r="T43" s="244" t="s">
        <v>690</v>
      </c>
      <c r="U43" s="235"/>
      <c r="V43" s="4027"/>
      <c r="W43" s="4028"/>
      <c r="X43" s="4028"/>
      <c r="Y43" s="4028"/>
      <c r="Z43" s="4028"/>
      <c r="AA43" s="4028"/>
      <c r="AB43" s="4029"/>
      <c r="AC43" s="4027" t="str">
        <f>INDEX(PT_DIFFERENTIATION_CS,MATCH(C43,PT_DIFFERENTIATION_CS_ID,0))</f>
        <v/>
      </c>
      <c r="AD43" s="4028"/>
      <c r="AE43" s="4028"/>
      <c r="AF43" s="4028"/>
      <c r="AG43" s="4028"/>
      <c r="AH43" s="4028"/>
      <c r="AI43" s="4028"/>
      <c r="AJ43" s="4029"/>
      <c r="AK43" s="1182" t="s">
        <v>691</v>
      </c>
      <c r="AM43" s="434"/>
      <c r="AN43" s="434" t="str">
        <f t="shared" si="1"/>
        <v>Наименование централизованной системы холодного водоснабжения</v>
      </c>
      <c r="AO43" s="434"/>
      <c r="AP43" s="434"/>
      <c r="AQ43" s="1079">
        <v>23</v>
      </c>
    </row>
    <row r="44" spans="1:43" ht="24" customHeight="1">
      <c r="A44" s="1287" t="s">
        <v>449</v>
      </c>
      <c r="B44" s="1287" t="s">
        <v>450</v>
      </c>
      <c r="C44" s="1287" t="s">
        <v>451</v>
      </c>
      <c r="D44" s="1287" t="s">
        <v>707</v>
      </c>
      <c r="E44" s="4034"/>
      <c r="F44" s="4034"/>
      <c r="G44" s="4034"/>
      <c r="H44" s="4034"/>
      <c r="I44" s="4035" t="str">
        <f>S43&amp;".1"</f>
        <v>...1</v>
      </c>
      <c r="J44" s="1287"/>
      <c r="K44" s="1287"/>
      <c r="L44" s="1288"/>
      <c r="P44" s="4037">
        <v>1</v>
      </c>
      <c r="Q44" s="1374"/>
      <c r="R44" s="290"/>
      <c r="S44" s="1381" t="str">
        <f>$I44</f>
        <v>...1</v>
      </c>
      <c r="T44" s="220" t="s">
        <v>692</v>
      </c>
      <c r="U44" s="235"/>
      <c r="V44" s="4101"/>
      <c r="W44" s="4102"/>
      <c r="X44" s="4102"/>
      <c r="Y44" s="4102"/>
      <c r="Z44" s="4102"/>
      <c r="AA44" s="4102"/>
      <c r="AB44" s="4103"/>
      <c r="AC44" s="4104"/>
      <c r="AD44" s="4105"/>
      <c r="AE44" s="4105"/>
      <c r="AF44" s="4105"/>
      <c r="AG44" s="4105"/>
      <c r="AH44" s="4105"/>
      <c r="AI44" s="4105"/>
      <c r="AJ44" s="4106"/>
      <c r="AK44" s="1182" t="s">
        <v>693</v>
      </c>
      <c r="AM44" s="434"/>
      <c r="AN44" s="434" t="str">
        <f t="shared" si="1"/>
        <v>Наименование признака дифференциации</v>
      </c>
      <c r="AO44" s="434"/>
      <c r="AP44" s="434"/>
      <c r="AQ44" s="1079">
        <v>23</v>
      </c>
    </row>
    <row r="45" spans="1:43" ht="24" customHeight="1">
      <c r="A45" s="1287" t="s">
        <v>449</v>
      </c>
      <c r="B45" s="1287" t="s">
        <v>450</v>
      </c>
      <c r="C45" s="1287" t="s">
        <v>451</v>
      </c>
      <c r="D45" s="1287" t="s">
        <v>707</v>
      </c>
      <c r="E45" s="4034"/>
      <c r="F45" s="4034"/>
      <c r="G45" s="4034"/>
      <c r="H45" s="4034"/>
      <c r="I45" s="4036"/>
      <c r="J45" s="4035" t="str">
        <f>I44&amp;".1"</f>
        <v>...1.1</v>
      </c>
      <c r="K45" s="1287"/>
      <c r="L45" s="1288" t="s">
        <v>614</v>
      </c>
      <c r="P45" s="4037"/>
      <c r="Q45" s="4037">
        <v>1</v>
      </c>
      <c r="R45" s="291"/>
      <c r="S45" s="1381" t="str">
        <f>$J45</f>
        <v>...1.1</v>
      </c>
      <c r="T45" s="221" t="s">
        <v>615</v>
      </c>
      <c r="U45" s="235"/>
      <c r="V45" s="4021"/>
      <c r="W45" s="4022"/>
      <c r="X45" s="4022"/>
      <c r="Y45" s="4022"/>
      <c r="Z45" s="4022"/>
      <c r="AA45" s="4022"/>
      <c r="AB45" s="4023"/>
      <c r="AC45" s="4021"/>
      <c r="AD45" s="4022"/>
      <c r="AE45" s="4022"/>
      <c r="AF45" s="4022"/>
      <c r="AG45" s="4022"/>
      <c r="AH45" s="4022"/>
      <c r="AI45" s="4022"/>
      <c r="AJ45" s="4023"/>
      <c r="AK45" s="1231" t="s">
        <v>694</v>
      </c>
      <c r="AM45" s="434"/>
      <c r="AN45" s="434" t="str">
        <f t="shared" si="1"/>
        <v>Группа потребителей</v>
      </c>
      <c r="AO45" s="434"/>
      <c r="AP45" s="434"/>
      <c r="AQ45" s="1079">
        <v>23</v>
      </c>
    </row>
    <row r="46" spans="1:43" ht="24" customHeight="1">
      <c r="A46" s="1287" t="s">
        <v>449</v>
      </c>
      <c r="B46" s="1287" t="s">
        <v>450</v>
      </c>
      <c r="C46" s="1287" t="s">
        <v>451</v>
      </c>
      <c r="D46" s="1287" t="s">
        <v>707</v>
      </c>
      <c r="E46" s="4034"/>
      <c r="F46" s="4034"/>
      <c r="G46" s="4034"/>
      <c r="H46" s="4034"/>
      <c r="I46" s="4036"/>
      <c r="J46" s="4036"/>
      <c r="K46" s="4035" t="str">
        <f>J45&amp;".1"</f>
        <v>...1.1.1</v>
      </c>
      <c r="L46" s="1288"/>
      <c r="P46" s="4037"/>
      <c r="Q46" s="4037"/>
      <c r="R46" s="291">
        <v>1</v>
      </c>
      <c r="S46" s="1381" t="str">
        <f>$K46</f>
        <v>...1.1.1</v>
      </c>
      <c r="T46" s="1361"/>
      <c r="U46" s="235"/>
      <c r="V46" s="685"/>
      <c r="W46" s="685"/>
      <c r="X46" s="1181"/>
      <c r="Y46" s="4038"/>
      <c r="Z46" s="3899" t="s">
        <v>53</v>
      </c>
      <c r="AA46" s="4038"/>
      <c r="AB46" s="3899" t="s">
        <v>53</v>
      </c>
      <c r="AC46" s="685"/>
      <c r="AD46" s="685"/>
      <c r="AE46" s="1181"/>
      <c r="AF46" s="4038"/>
      <c r="AG46" s="3899" t="s">
        <v>53</v>
      </c>
      <c r="AH46" s="4040"/>
      <c r="AI46" s="3899" t="s">
        <v>53</v>
      </c>
      <c r="AJ46" s="1362"/>
      <c r="AK46"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9">
        <v>23</v>
      </c>
    </row>
    <row r="47" spans="1:43" ht="0" hidden="1" customHeight="1">
      <c r="A47" s="1287" t="s">
        <v>449</v>
      </c>
      <c r="B47" s="1287" t="s">
        <v>450</v>
      </c>
      <c r="C47" s="1287" t="s">
        <v>451</v>
      </c>
      <c r="D47" s="1287" t="s">
        <v>707</v>
      </c>
      <c r="E47" s="4034"/>
      <c r="F47" s="4034"/>
      <c r="G47" s="4034"/>
      <c r="H47" s="4034"/>
      <c r="I47" s="4036"/>
      <c r="J47" s="4036"/>
      <c r="K47" s="4035"/>
      <c r="L47" s="1288"/>
      <c r="P47" s="4037"/>
      <c r="Q47" s="4037"/>
      <c r="R47" s="291"/>
      <c r="S47" s="1380"/>
      <c r="T47" s="235"/>
      <c r="U47" s="235"/>
      <c r="V47" s="260"/>
      <c r="W47" s="260"/>
      <c r="X47" s="263" t="str">
        <f>Y46&amp;"-"&amp;AA46</f>
        <v>-</v>
      </c>
      <c r="Y47" s="4039"/>
      <c r="Z47" s="3899"/>
      <c r="AA47" s="4039"/>
      <c r="AB47" s="3899"/>
      <c r="AC47" s="260"/>
      <c r="AD47" s="260"/>
      <c r="AE47" s="263" t="str">
        <f>AF46&amp;"-"&amp;AH46</f>
        <v>-</v>
      </c>
      <c r="AF47" s="4039"/>
      <c r="AG47" s="3899"/>
      <c r="AH47" s="4041"/>
      <c r="AI47" s="3899"/>
      <c r="AJ47" s="1363"/>
      <c r="AK47" s="4107"/>
      <c r="AM47" s="434"/>
      <c r="AN47" s="434" t="str">
        <f t="shared" si="1"/>
        <v/>
      </c>
      <c r="AO47" s="434"/>
      <c r="AP47" s="434"/>
      <c r="AQ47" s="1079">
        <v>0</v>
      </c>
    </row>
    <row r="48" spans="1:43" ht="21" customHeight="1">
      <c r="A48" s="1287" t="s">
        <v>449</v>
      </c>
      <c r="B48" s="1287" t="s">
        <v>450</v>
      </c>
      <c r="C48" s="1287" t="s">
        <v>451</v>
      </c>
      <c r="D48" s="1287" t="s">
        <v>707</v>
      </c>
      <c r="E48" s="4034"/>
      <c r="F48" s="4034"/>
      <c r="G48" s="4034"/>
      <c r="H48" s="4034"/>
      <c r="I48" s="4036"/>
      <c r="J48" s="4035"/>
      <c r="K48" s="1287"/>
      <c r="L48" s="1288"/>
      <c r="P48" s="4037"/>
      <c r="Q48" s="4037"/>
      <c r="R48" s="290"/>
      <c r="S48" s="1202"/>
      <c r="T48" s="222" t="s">
        <v>695</v>
      </c>
      <c r="U48" s="301"/>
      <c r="V48" s="301"/>
      <c r="W48" s="301"/>
      <c r="X48" s="301"/>
      <c r="Y48" s="301"/>
      <c r="Z48" s="301"/>
      <c r="AA48" s="301"/>
      <c r="AB48" s="301"/>
      <c r="AC48" s="301"/>
      <c r="AD48" s="301"/>
      <c r="AE48" s="301"/>
      <c r="AF48" s="301"/>
      <c r="AG48" s="301"/>
      <c r="AH48" s="301"/>
      <c r="AI48" s="301"/>
      <c r="AJ48" s="301"/>
      <c r="AK48" s="1182" t="s">
        <v>696</v>
      </c>
      <c r="AM48" s="434"/>
      <c r="AN48" s="434" t="str">
        <f t="shared" si="1"/>
        <v>Добавить значение признака дифференциации</v>
      </c>
      <c r="AO48" s="434"/>
      <c r="AP48" s="434"/>
      <c r="AQ48" s="1079">
        <v>20</v>
      </c>
    </row>
    <row r="49" spans="1:43" ht="21.95" customHeight="1">
      <c r="A49" s="1287" t="s">
        <v>449</v>
      </c>
      <c r="B49" s="1287" t="s">
        <v>450</v>
      </c>
      <c r="C49" s="1287" t="s">
        <v>451</v>
      </c>
      <c r="D49" s="1287" t="s">
        <v>707</v>
      </c>
      <c r="E49" s="4034"/>
      <c r="F49" s="4034"/>
      <c r="G49" s="4034"/>
      <c r="H49" s="4034"/>
      <c r="I49" s="4035"/>
      <c r="J49" s="1287"/>
      <c r="K49" s="1287"/>
      <c r="L49" s="1288"/>
      <c r="P49" s="4037"/>
      <c r="Q49" s="1374"/>
      <c r="R49" s="290"/>
      <c r="S49" s="1202"/>
      <c r="T49" s="299" t="s">
        <v>620</v>
      </c>
      <c r="U49" s="301"/>
      <c r="V49" s="301"/>
      <c r="W49" s="301"/>
      <c r="X49" s="301"/>
      <c r="Y49" s="301"/>
      <c r="Z49" s="301"/>
      <c r="AA49" s="301"/>
      <c r="AB49" s="300"/>
      <c r="AC49" s="301"/>
      <c r="AD49" s="301"/>
      <c r="AE49" s="301"/>
      <c r="AF49" s="301"/>
      <c r="AG49" s="301"/>
      <c r="AH49" s="301"/>
      <c r="AI49" s="300"/>
      <c r="AJ49" s="301"/>
      <c r="AK49" s="1364"/>
      <c r="AM49" s="434"/>
      <c r="AN49" s="434" t="str">
        <f t="shared" si="1"/>
        <v>Добавить группу потребителей</v>
      </c>
      <c r="AO49" s="434"/>
      <c r="AP49" s="434"/>
      <c r="AQ49" s="1079">
        <v>21</v>
      </c>
    </row>
    <row r="50" spans="1:43" ht="21.95" customHeight="1">
      <c r="A50" s="1287" t="s">
        <v>449</v>
      </c>
      <c r="B50" s="1287" t="s">
        <v>450</v>
      </c>
      <c r="C50" s="1287" t="s">
        <v>451</v>
      </c>
      <c r="D50" s="1287" t="s">
        <v>707</v>
      </c>
      <c r="E50" s="4034"/>
      <c r="F50" s="4034"/>
      <c r="G50" s="4034"/>
      <c r="H50" s="4033"/>
      <c r="I50" s="1287"/>
      <c r="J50" s="1287"/>
      <c r="K50" s="1287"/>
      <c r="L50" s="1288"/>
      <c r="M50" s="1289"/>
      <c r="N50" s="1289"/>
      <c r="O50" s="471"/>
      <c r="P50" s="294"/>
      <c r="Q50" s="309"/>
      <c r="R50" s="289"/>
      <c r="S50" s="1202"/>
      <c r="T50" s="306" t="s">
        <v>697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9">
        <v>21</v>
      </c>
    </row>
    <row r="51" spans="1:43" s="1566" customFormat="1" ht="0" hidden="1" customHeight="1">
      <c r="A51" s="1267" t="s">
        <v>449</v>
      </c>
      <c r="B51" s="1267" t="s">
        <v>450</v>
      </c>
      <c r="C51" s="1238"/>
      <c r="D51" s="1238"/>
      <c r="E51" s="4034"/>
      <c r="F51" s="4033"/>
      <c r="G51" s="1238"/>
      <c r="H51" s="1238"/>
      <c r="I51" s="1238"/>
      <c r="J51" s="1238"/>
      <c r="K51" s="1238"/>
      <c r="L51" s="1382"/>
      <c r="M51" s="1245"/>
      <c r="N51" s="1245"/>
      <c r="P51" s="1240"/>
      <c r="Q51" s="1241"/>
      <c r="R51" s="1240"/>
      <c r="S51" s="1246"/>
      <c r="T51" s="1249" t="s">
        <v>236</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2">
        <v>0</v>
      </c>
    </row>
    <row r="52" spans="1:43" s="1566" customFormat="1" ht="0" hidden="1" customHeight="1">
      <c r="A52" s="1267" t="s">
        <v>449</v>
      </c>
      <c r="B52" s="1267"/>
      <c r="C52" s="1267"/>
      <c r="D52" s="1267"/>
      <c r="E52" s="4033"/>
      <c r="F52" s="1267"/>
      <c r="G52" s="1267"/>
      <c r="H52" s="1267"/>
      <c r="I52" s="1267"/>
      <c r="J52" s="1267"/>
      <c r="K52" s="1267"/>
      <c r="L52" s="1270"/>
      <c r="M52" s="1245"/>
      <c r="N52" s="1245"/>
      <c r="O52" s="452"/>
      <c r="P52" s="314"/>
      <c r="Q52" s="1268"/>
      <c r="R52" s="314"/>
      <c r="S52" s="1246"/>
      <c r="T52" s="1249" t="s">
        <v>286</v>
      </c>
      <c r="U52" s="1248"/>
      <c r="V52" s="1248"/>
      <c r="W52" s="1248"/>
      <c r="X52" s="1248"/>
      <c r="Y52" s="1248"/>
      <c r="Z52" s="1248"/>
      <c r="AA52" s="1248"/>
      <c r="AB52" s="1248"/>
      <c r="AC52" s="1248"/>
      <c r="AD52" s="1248"/>
      <c r="AE52" s="1248"/>
      <c r="AF52" s="1248"/>
      <c r="AG52" s="1248"/>
      <c r="AH52" s="1248"/>
      <c r="AI52" s="1248"/>
      <c r="AJ52" s="1248"/>
      <c r="AK52" s="1248"/>
      <c r="AM52" s="434"/>
      <c r="AN52" s="434" t="str">
        <f t="shared" si="1"/>
        <v>Добавить территорию для дифференциации</v>
      </c>
      <c r="AO52" s="434"/>
      <c r="AP52" s="434"/>
      <c r="AQ52" s="445">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287</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2">
        <v>0</v>
      </c>
    </row>
    <row r="54" spans="1:43" ht="11.45" customHeight="1">
      <c r="M54" s="1084"/>
      <c r="N54" s="1084"/>
      <c r="O54" s="471"/>
      <c r="P54" s="1079"/>
      <c r="Q54" s="1079"/>
      <c r="R54" s="1079"/>
      <c r="S54" s="1079"/>
      <c r="AL54" s="1079"/>
      <c r="AM54" s="1079"/>
      <c r="AN54" s="1079"/>
      <c r="AO54" s="1079"/>
      <c r="AP54" s="1079"/>
      <c r="AQ54" s="1079">
        <v>11</v>
      </c>
    </row>
    <row r="55" spans="1:43" ht="14.65" customHeight="1">
      <c r="O55" s="471"/>
      <c r="S55" s="1177"/>
      <c r="T55" s="4032"/>
      <c r="U55" s="4032"/>
      <c r="V55" s="4032"/>
      <c r="W55" s="4032"/>
      <c r="X55" s="4032"/>
      <c r="Y55" s="4032"/>
      <c r="Z55" s="4032"/>
      <c r="AA55" s="4032"/>
      <c r="AB55" s="4032"/>
      <c r="AC55" s="4032"/>
      <c r="AD55" s="4032"/>
      <c r="AE55" s="4032"/>
      <c r="AF55" s="4032"/>
      <c r="AG55" s="4032"/>
      <c r="AH55" s="4032"/>
      <c r="AI55" s="4032"/>
      <c r="AJ55" s="4032"/>
      <c r="AK55" s="4032"/>
      <c r="AQ55" s="1079">
        <v>14</v>
      </c>
    </row>
    <row r="56" spans="1:43" ht="14.65" customHeight="1">
      <c r="O56" s="471"/>
      <c r="AQ56" s="1079">
        <v>14</v>
      </c>
    </row>
    <row r="57" spans="1:43" ht="14.65" customHeight="1">
      <c r="O57" s="471"/>
      <c r="S57" s="1177"/>
      <c r="T57" s="4032"/>
      <c r="U57" s="4032"/>
      <c r="V57" s="4032"/>
      <c r="W57" s="4032"/>
      <c r="X57" s="4032"/>
      <c r="Y57" s="4032"/>
      <c r="Z57" s="4032"/>
      <c r="AA57" s="4032"/>
      <c r="AB57" s="4032"/>
      <c r="AC57" s="4032"/>
      <c r="AD57" s="4032"/>
      <c r="AE57" s="4032"/>
      <c r="AF57" s="4032"/>
      <c r="AG57" s="4032"/>
      <c r="AH57" s="4032"/>
      <c r="AI57" s="4032"/>
      <c r="AJ57" s="4032"/>
      <c r="AK57" s="4032"/>
      <c r="AQ57" s="1079">
        <v>14</v>
      </c>
    </row>
    <row r="58" spans="1:43" ht="22.5" hidden="1" customHeight="1">
      <c r="A58" s="1084" t="s">
        <v>69</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79">
        <v>3</v>
      </c>
      <c r="R58" s="279">
        <v>3</v>
      </c>
      <c r="S58" s="515">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5">
        <v>10</v>
      </c>
      <c r="AM58" s="445">
        <v>10</v>
      </c>
      <c r="AN58" s="445">
        <v>10</v>
      </c>
      <c r="AO58" s="445">
        <v>10</v>
      </c>
      <c r="AP58" s="445">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9" hidden="1" customWidth="1"/>
    <col min="4" max="4" width="11.85546875" style="1559" hidden="1" customWidth="1"/>
    <col min="5" max="11" width="10.140625" style="1559" hidden="1" customWidth="1"/>
    <col min="12" max="12" width="10.140625" style="1970" hidden="1" customWidth="1"/>
    <col min="13" max="15" width="10.140625" style="1975" hidden="1" customWidth="1"/>
    <col min="16" max="16" width="3" style="1672" customWidth="1"/>
    <col min="17" max="17" width="3" style="1295" customWidth="1"/>
    <col min="18" max="18" width="3" style="279" customWidth="1"/>
    <col min="19" max="19" width="12" style="1976"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27" style="1559" customWidth="1"/>
    <col min="29" max="29" width="24.5703125" style="1559" customWidth="1"/>
    <col min="30" max="31" width="21"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0.75" hidden="1" customHeight="1">
      <c r="AQ1" s="1555" t="s">
        <v>1</v>
      </c>
    </row>
    <row r="2" spans="1:43" ht="21" hidden="1" customHeight="1">
      <c r="A2" s="1191"/>
      <c r="B2" s="1191"/>
      <c r="C2" s="1191"/>
      <c r="D2" s="1191"/>
      <c r="E2" s="4059">
        <v>1</v>
      </c>
      <c r="F2" s="1191"/>
      <c r="G2" s="1191"/>
      <c r="H2" s="1191"/>
      <c r="I2" s="1191"/>
      <c r="J2" s="1191"/>
      <c r="K2" s="1191"/>
      <c r="L2" s="1234"/>
      <c r="M2" s="1534"/>
      <c r="N2" s="1534"/>
      <c r="O2" s="1534"/>
      <c r="P2" s="1333"/>
      <c r="Q2" s="801"/>
      <c r="R2" s="289"/>
      <c r="S2" s="1850" t="e">
        <f>INDEX(PT_DIFFERENTIATION_NUM_NTAR,MATCH(A2,PT_DIFFERENTIATION_NTAR_ID,0))</f>
        <v>#N/A</v>
      </c>
      <c r="T2" s="1449" t="s">
        <v>195</v>
      </c>
      <c r="U2" s="235"/>
      <c r="V2" s="4028"/>
      <c r="W2" s="4028"/>
      <c r="X2" s="4028"/>
      <c r="Y2" s="4028"/>
      <c r="Z2" s="4028"/>
      <c r="AA2" s="4029"/>
      <c r="AB2" s="1844"/>
      <c r="AC2" s="4028" t="e">
        <f>INDEX(PT_DIFFERENTIATION_NTAR,MATCH(A2,PT_DIFFERENTIATION_NTAR_ID,0))</f>
        <v>#N/A</v>
      </c>
      <c r="AD2" s="4028"/>
      <c r="AE2" s="4028"/>
      <c r="AF2" s="4028"/>
      <c r="AG2" s="4028"/>
      <c r="AH2" s="4028"/>
      <c r="AI2" s="4028"/>
      <c r="AJ2" s="4029"/>
      <c r="AK2" s="1182" t="s">
        <v>604</v>
      </c>
      <c r="AM2" s="1548"/>
      <c r="AN2" s="1548" t="str">
        <f t="shared" ref="AN2:AN14" si="0">IF(T2="","",T2)</f>
        <v>Наименование тарифа</v>
      </c>
      <c r="AO2" s="1548"/>
      <c r="AP2" s="1548"/>
      <c r="AQ2" s="1555">
        <v>0</v>
      </c>
    </row>
    <row r="3" spans="1:43" ht="21" hidden="1" customHeight="1">
      <c r="A3" s="1191"/>
      <c r="B3" s="1191"/>
      <c r="C3" s="1191"/>
      <c r="D3" s="1191"/>
      <c r="E3" s="4060"/>
      <c r="F3" s="4059">
        <v>1</v>
      </c>
      <c r="G3" s="1191"/>
      <c r="H3" s="1191"/>
      <c r="I3" s="1191"/>
      <c r="J3" s="1191"/>
      <c r="K3" s="1191"/>
      <c r="L3" s="1234"/>
      <c r="M3" s="1534"/>
      <c r="N3" s="1534"/>
      <c r="O3" s="1534"/>
      <c r="P3" s="1861"/>
      <c r="Q3" s="1335"/>
      <c r="R3" s="287"/>
      <c r="S3" s="1850" t="e">
        <f>INDEX(PT_DIFFERENTIATION_NUM_TER,MATCH(B3,PT_DIFFERENTIATION_TER_ID,0))</f>
        <v>#N/A</v>
      </c>
      <c r="T3" s="1446" t="s">
        <v>605</v>
      </c>
      <c r="U3" s="235"/>
      <c r="V3" s="4028"/>
      <c r="W3" s="4028"/>
      <c r="X3" s="4028"/>
      <c r="Y3" s="4028"/>
      <c r="Z3" s="4028"/>
      <c r="AA3" s="4029"/>
      <c r="AB3" s="1844"/>
      <c r="AC3" s="4028" t="e">
        <f>INDEX(PT_DIFFERENTIATION_TER,MATCH(B3,PT_DIFFERENTIATION_TER_ID,0))</f>
        <v>#N/A</v>
      </c>
      <c r="AD3" s="4028"/>
      <c r="AE3" s="4028"/>
      <c r="AF3" s="4028"/>
      <c r="AG3" s="4028"/>
      <c r="AH3" s="4028"/>
      <c r="AI3" s="4028"/>
      <c r="AJ3" s="4029"/>
      <c r="AK3" s="1182" t="s">
        <v>606</v>
      </c>
      <c r="AM3" s="1548"/>
      <c r="AN3" s="1548" t="str">
        <f t="shared" si="0"/>
        <v>Территория действия тарифа</v>
      </c>
      <c r="AO3" s="1548"/>
      <c r="AP3" s="1548"/>
      <c r="AQ3" s="1555">
        <v>0</v>
      </c>
    </row>
    <row r="4" spans="1:43" ht="22.5" hidden="1" customHeight="1">
      <c r="A4" s="1191"/>
      <c r="B4" s="1191"/>
      <c r="C4" s="1191"/>
      <c r="D4" s="1191"/>
      <c r="E4" s="4060"/>
      <c r="F4" s="4060"/>
      <c r="G4" s="4059">
        <v>1</v>
      </c>
      <c r="H4" s="1191"/>
      <c r="I4" s="1191"/>
      <c r="J4" s="1191"/>
      <c r="K4" s="1191"/>
      <c r="L4" s="1234"/>
      <c r="M4" s="1534"/>
      <c r="N4" s="1534"/>
      <c r="O4" s="1534"/>
      <c r="P4" s="1336"/>
      <c r="Q4" s="1335"/>
      <c r="R4" s="287"/>
      <c r="S4" s="1850" t="e">
        <f>INDEX(PT_DIFFERENTIATION_NUM_CS,MATCH(C4,PT_DIFFERENTIATION_CS_ID,0))</f>
        <v>#N/A</v>
      </c>
      <c r="T4" s="244" t="s">
        <v>607</v>
      </c>
      <c r="U4" s="235"/>
      <c r="V4" s="4028"/>
      <c r="W4" s="4028"/>
      <c r="X4" s="4028"/>
      <c r="Y4" s="4028"/>
      <c r="Z4" s="4028"/>
      <c r="AA4" s="4029"/>
      <c r="AB4" s="1844"/>
      <c r="AC4" s="4028" t="e">
        <f>INDEX(PT_DIFFERENTIATION_CS,MATCH(C4,PT_DIFFERENTIATION_CS_ID,0))</f>
        <v>#N/A</v>
      </c>
      <c r="AD4" s="4028"/>
      <c r="AE4" s="4028"/>
      <c r="AF4" s="4028"/>
      <c r="AG4" s="4028"/>
      <c r="AH4" s="4028"/>
      <c r="AI4" s="4028"/>
      <c r="AJ4" s="4029"/>
      <c r="AK4" s="1182" t="s">
        <v>608</v>
      </c>
      <c r="AM4" s="1548"/>
      <c r="AN4" s="1548" t="str">
        <f t="shared" si="0"/>
        <v xml:space="preserve">Наименование системы теплоснабжения </v>
      </c>
      <c r="AO4" s="1548"/>
      <c r="AP4" s="1548"/>
      <c r="AQ4" s="1555">
        <v>0</v>
      </c>
    </row>
    <row r="5" spans="1:43" ht="21" hidden="1" customHeight="1">
      <c r="A5" s="1191"/>
      <c r="B5" s="1191"/>
      <c r="C5" s="1191"/>
      <c r="D5" s="1191"/>
      <c r="E5" s="4060"/>
      <c r="F5" s="4060"/>
      <c r="G5" s="4060"/>
      <c r="H5" s="4059">
        <v>1</v>
      </c>
      <c r="I5" s="1191"/>
      <c r="J5" s="1191"/>
      <c r="K5" s="1191"/>
      <c r="L5" s="1234"/>
      <c r="M5" s="1534"/>
      <c r="N5" s="1534"/>
      <c r="O5" s="1534"/>
      <c r="P5" s="1336"/>
      <c r="Q5" s="1335"/>
      <c r="R5" s="287"/>
      <c r="S5" s="1850" t="e">
        <f>INDEX(PT_DIFFERENTIATION_NUM_IST_TE,MATCH(D5,PT_DIFFERENTIATION_IST_TE_ID,0))</f>
        <v>#N/A</v>
      </c>
      <c r="T5" s="245" t="s">
        <v>609</v>
      </c>
      <c r="U5" s="235"/>
      <c r="V5" s="4028"/>
      <c r="W5" s="4028"/>
      <c r="X5" s="4028"/>
      <c r="Y5" s="4028"/>
      <c r="Z5" s="4028"/>
      <c r="AA5" s="4029"/>
      <c r="AB5" s="1844"/>
      <c r="AC5" s="4028" t="e">
        <f>INDEX(PT_DIFFERENTIATION_IST_TE,MATCH(D5,PT_DIFFERENTIATION_IST_TE_ID,0))</f>
        <v>#N/A</v>
      </c>
      <c r="AD5" s="4028"/>
      <c r="AE5" s="4028"/>
      <c r="AF5" s="4028"/>
      <c r="AG5" s="4028"/>
      <c r="AH5" s="4028"/>
      <c r="AI5" s="4028"/>
      <c r="AJ5" s="4029"/>
      <c r="AK5" s="1182" t="s">
        <v>610</v>
      </c>
      <c r="AM5" s="1548"/>
      <c r="AN5" s="1548" t="str">
        <f t="shared" si="0"/>
        <v xml:space="preserve">Источник тепловой энергии  </v>
      </c>
      <c r="AO5" s="1548"/>
      <c r="AP5" s="1548"/>
      <c r="AQ5" s="1555">
        <v>0</v>
      </c>
    </row>
    <row r="6" spans="1:43" s="1566" customFormat="1" ht="0.75" hidden="1" customHeight="1">
      <c r="A6" s="1299"/>
      <c r="B6" s="1299"/>
      <c r="C6" s="1299"/>
      <c r="D6" s="1299"/>
      <c r="E6" s="4060"/>
      <c r="F6" s="4060"/>
      <c r="G6" s="4060"/>
      <c r="H6" s="4060"/>
      <c r="I6" s="3889" t="e">
        <f>S5&amp;".1"</f>
        <v>#N/A</v>
      </c>
      <c r="J6" s="1299"/>
      <c r="K6" s="1299"/>
      <c r="L6" s="1305" t="s">
        <v>611</v>
      </c>
      <c r="M6" s="1170"/>
      <c r="N6" s="1170"/>
      <c r="O6" s="1170"/>
      <c r="P6" s="4037">
        <v>1</v>
      </c>
      <c r="Q6" s="1846"/>
      <c r="R6" s="290"/>
      <c r="S6" s="969"/>
      <c r="T6" s="1307"/>
      <c r="U6" s="1308"/>
      <c r="V6" s="4065"/>
      <c r="W6" s="4065"/>
      <c r="X6" s="4065"/>
      <c r="Y6" s="4065"/>
      <c r="Z6" s="4065"/>
      <c r="AA6" s="4066"/>
      <c r="AB6" s="1852"/>
      <c r="AC6" s="4065"/>
      <c r="AD6" s="4065"/>
      <c r="AE6" s="4065"/>
      <c r="AF6" s="4065"/>
      <c r="AG6" s="4065"/>
      <c r="AH6" s="4065"/>
      <c r="AI6" s="4065"/>
      <c r="AJ6" s="4066"/>
      <c r="AK6" s="1309"/>
      <c r="AM6" s="1548"/>
      <c r="AN6" s="1548" t="str">
        <f t="shared" si="0"/>
        <v/>
      </c>
      <c r="AO6" s="1548"/>
      <c r="AP6" s="1548"/>
      <c r="AQ6" s="1560">
        <v>0</v>
      </c>
    </row>
    <row r="7" spans="1:43" s="1566" customFormat="1" ht="0.75" hidden="1" customHeight="1">
      <c r="A7" s="1299"/>
      <c r="B7" s="1299"/>
      <c r="C7" s="1299"/>
      <c r="D7" s="1299"/>
      <c r="E7" s="4060"/>
      <c r="F7" s="4060"/>
      <c r="G7" s="4060"/>
      <c r="H7" s="4060"/>
      <c r="I7" s="3870"/>
      <c r="J7" s="3889" t="e">
        <f>S5&amp;".1"</f>
        <v>#N/A</v>
      </c>
      <c r="K7" s="1299"/>
      <c r="L7" s="1305"/>
      <c r="M7" s="1170"/>
      <c r="N7" s="1170"/>
      <c r="O7" s="1170"/>
      <c r="P7" s="4037"/>
      <c r="Q7" s="4037">
        <v>1</v>
      </c>
      <c r="R7" s="291"/>
      <c r="S7" s="969"/>
      <c r="T7" s="1323"/>
      <c r="U7" s="1308"/>
      <c r="V7" s="4065"/>
      <c r="W7" s="4065"/>
      <c r="X7" s="4065"/>
      <c r="Y7" s="4065"/>
      <c r="Z7" s="4065"/>
      <c r="AA7" s="4066"/>
      <c r="AB7" s="1852"/>
      <c r="AC7" s="4065"/>
      <c r="AD7" s="4065"/>
      <c r="AE7" s="4065"/>
      <c r="AF7" s="4065"/>
      <c r="AG7" s="4065"/>
      <c r="AH7" s="4065"/>
      <c r="AI7" s="4065"/>
      <c r="AJ7" s="4066"/>
      <c r="AK7" s="1309"/>
      <c r="AM7" s="1548"/>
      <c r="AN7" s="1548" t="str">
        <f t="shared" si="0"/>
        <v/>
      </c>
      <c r="AO7" s="1548"/>
      <c r="AP7" s="1548"/>
      <c r="AQ7" s="1560">
        <v>0</v>
      </c>
    </row>
    <row r="8" spans="1:43" ht="21" hidden="1" customHeight="1">
      <c r="A8" s="1191"/>
      <c r="B8" s="1191"/>
      <c r="C8" s="1191"/>
      <c r="D8" s="1191"/>
      <c r="E8" s="4060"/>
      <c r="F8" s="4060"/>
      <c r="G8" s="4060"/>
      <c r="H8" s="4060"/>
      <c r="I8" s="3870"/>
      <c r="J8" s="3870"/>
      <c r="K8" s="1883" t="e">
        <f>S5&amp;".1"</f>
        <v>#N/A</v>
      </c>
      <c r="L8" s="1234"/>
      <c r="P8" s="4037"/>
      <c r="Q8" s="4037"/>
      <c r="R8" s="1887">
        <v>1</v>
      </c>
      <c r="S8" s="1885" t="e">
        <f>$K8</f>
        <v>#N/A</v>
      </c>
      <c r="T8" s="1886"/>
      <c r="U8" s="235"/>
      <c r="V8" s="685"/>
      <c r="W8" s="1181"/>
      <c r="X8" s="1884"/>
      <c r="Y8" s="1882" t="s">
        <v>53</v>
      </c>
      <c r="Z8" s="1884"/>
      <c r="AA8" s="1882" t="s">
        <v>53</v>
      </c>
      <c r="AB8" s="1888"/>
      <c r="AC8" s="1889" t="s">
        <v>15</v>
      </c>
      <c r="AD8" s="685"/>
      <c r="AE8" s="1181"/>
      <c r="AF8" s="1847"/>
      <c r="AG8" s="1834" t="s">
        <v>53</v>
      </c>
      <c r="AH8" s="1847"/>
      <c r="AI8" s="1834" t="s">
        <v>53</v>
      </c>
      <c r="AJ8" s="1272"/>
      <c r="AK8" s="4056" t="s">
        <v>673</v>
      </c>
      <c r="AL8" s="1560" t="e">
        <f ca="1">STRCHECKDATE(#REF!)</f>
        <v>#NAME?</v>
      </c>
      <c r="AM8" s="1548"/>
      <c r="AN8" s="1548" t="str">
        <f t="shared" si="0"/>
        <v/>
      </c>
      <c r="AO8" s="1548"/>
      <c r="AP8" s="1548"/>
      <c r="AQ8" s="1555">
        <v>0</v>
      </c>
    </row>
    <row r="9" spans="1:43" ht="11.25" hidden="1" customHeight="1">
      <c r="A9" s="1191"/>
      <c r="B9" s="1191"/>
      <c r="C9" s="1191"/>
      <c r="D9" s="1191"/>
      <c r="E9" s="4060"/>
      <c r="F9" s="4060"/>
      <c r="G9" s="4060"/>
      <c r="H9" s="4060"/>
      <c r="I9" s="3870"/>
      <c r="J9" s="3889"/>
      <c r="K9" s="1191"/>
      <c r="L9" s="1234"/>
      <c r="P9" s="4037"/>
      <c r="Q9" s="4037"/>
      <c r="R9" s="290"/>
      <c r="S9" s="1202"/>
      <c r="T9" s="222" t="s">
        <v>677</v>
      </c>
      <c r="U9" s="534"/>
      <c r="V9" s="534"/>
      <c r="W9" s="534"/>
      <c r="X9" s="534"/>
      <c r="Y9" s="534"/>
      <c r="Z9" s="534"/>
      <c r="AA9" s="534"/>
      <c r="AB9" s="534"/>
      <c r="AC9" s="534"/>
      <c r="AD9" s="534"/>
      <c r="AE9" s="534"/>
      <c r="AF9" s="534"/>
      <c r="AG9" s="534"/>
      <c r="AH9" s="534"/>
      <c r="AI9" s="534"/>
      <c r="AJ9" s="259"/>
      <c r="AK9" s="4058"/>
      <c r="AM9" s="1548"/>
      <c r="AN9" s="1548" t="str">
        <f t="shared" si="0"/>
        <v>Добавить строку</v>
      </c>
      <c r="AO9" s="1548"/>
      <c r="AP9" s="1548"/>
      <c r="AQ9" s="1555">
        <v>0</v>
      </c>
    </row>
    <row r="10" spans="1:43" s="1566" customFormat="1" ht="0.75" hidden="1" customHeight="1">
      <c r="A10" s="1299"/>
      <c r="B10" s="1299"/>
      <c r="C10" s="1299"/>
      <c r="D10" s="1299"/>
      <c r="E10" s="4060"/>
      <c r="F10" s="4060"/>
      <c r="G10" s="4060"/>
      <c r="H10" s="4060"/>
      <c r="I10" s="3889"/>
      <c r="J10" s="1299"/>
      <c r="K10" s="1299"/>
      <c r="L10" s="1305"/>
      <c r="M10" s="1170"/>
      <c r="N10" s="1170"/>
      <c r="O10" s="1170"/>
      <c r="P10" s="4037"/>
      <c r="Q10" s="1846"/>
      <c r="R10" s="290"/>
      <c r="S10" s="1310"/>
      <c r="T10" s="1311"/>
      <c r="U10" s="1312"/>
      <c r="V10" s="1312"/>
      <c r="W10" s="1312"/>
      <c r="X10" s="1312"/>
      <c r="Y10" s="1312"/>
      <c r="Z10" s="1312"/>
      <c r="AA10" s="1312"/>
      <c r="AB10" s="1312"/>
      <c r="AC10" s="1312"/>
      <c r="AD10" s="1312"/>
      <c r="AE10" s="1312"/>
      <c r="AF10" s="1312"/>
      <c r="AG10" s="1312"/>
      <c r="AH10" s="1312"/>
      <c r="AI10" s="1312"/>
      <c r="AJ10" s="1312"/>
      <c r="AK10" s="1313"/>
      <c r="AM10" s="1548"/>
      <c r="AN10" s="1548" t="str">
        <f t="shared" si="0"/>
        <v/>
      </c>
      <c r="AO10" s="1548"/>
      <c r="AP10" s="1548"/>
      <c r="AQ10" s="1560">
        <v>0</v>
      </c>
    </row>
    <row r="11" spans="1:43" s="1566" customFormat="1" ht="0.75" hidden="1" customHeight="1">
      <c r="A11" s="1299"/>
      <c r="B11" s="1299"/>
      <c r="C11" s="1299"/>
      <c r="D11" s="1299"/>
      <c r="E11" s="4060"/>
      <c r="F11" s="4060"/>
      <c r="G11" s="4060"/>
      <c r="H11" s="4059"/>
      <c r="I11" s="1299"/>
      <c r="J11" s="1299"/>
      <c r="K11" s="1299"/>
      <c r="L11" s="1305"/>
      <c r="M11" s="1302"/>
      <c r="N11" s="1302"/>
      <c r="O11" s="285"/>
      <c r="P11" s="314"/>
      <c r="Q11" s="1268"/>
      <c r="R11" s="1325"/>
      <c r="S11" s="1310"/>
      <c r="T11" s="1311"/>
      <c r="U11" s="1312"/>
      <c r="V11" s="1312"/>
      <c r="W11" s="1312"/>
      <c r="X11" s="1312"/>
      <c r="Y11" s="1312"/>
      <c r="Z11" s="1312"/>
      <c r="AA11" s="1312"/>
      <c r="AB11" s="1312"/>
      <c r="AC11" s="1312"/>
      <c r="AD11" s="1312"/>
      <c r="AE11" s="1312"/>
      <c r="AF11" s="1312"/>
      <c r="AG11" s="1312"/>
      <c r="AH11" s="1312"/>
      <c r="AI11" s="1312"/>
      <c r="AJ11" s="1312"/>
      <c r="AK11" s="1313"/>
      <c r="AM11" s="1548"/>
      <c r="AN11" s="1548" t="str">
        <f t="shared" si="0"/>
        <v/>
      </c>
      <c r="AO11" s="1548"/>
      <c r="AP11" s="1548"/>
      <c r="AQ11" s="1560">
        <v>0</v>
      </c>
    </row>
    <row r="12" spans="1:43" s="1566" customFormat="1" ht="0.75" hidden="1" customHeight="1">
      <c r="A12" s="1299"/>
      <c r="B12" s="1299"/>
      <c r="C12" s="1299"/>
      <c r="D12" s="1298"/>
      <c r="E12" s="4060"/>
      <c r="F12" s="4060"/>
      <c r="G12" s="4059"/>
      <c r="H12" s="1298"/>
      <c r="I12" s="1298"/>
      <c r="J12" s="1298"/>
      <c r="K12" s="1298"/>
      <c r="L12" s="1301"/>
      <c r="M12" s="1302"/>
      <c r="N12" s="1302"/>
      <c r="O12" s="285"/>
      <c r="P12" s="1240"/>
      <c r="Q12" s="1241"/>
      <c r="R12" s="1240"/>
      <c r="S12" s="1246"/>
      <c r="T12" s="1249" t="s">
        <v>235</v>
      </c>
      <c r="U12" s="1248"/>
      <c r="V12" s="1248"/>
      <c r="W12" s="1248"/>
      <c r="X12" s="1248"/>
      <c r="Y12" s="1248"/>
      <c r="Z12" s="1248"/>
      <c r="AA12" s="1248"/>
      <c r="AB12" s="1248"/>
      <c r="AC12" s="1248"/>
      <c r="AD12" s="1248"/>
      <c r="AE12" s="1248"/>
      <c r="AF12" s="1248"/>
      <c r="AG12" s="1248"/>
      <c r="AH12" s="1248"/>
      <c r="AI12" s="1248"/>
      <c r="AJ12" s="1248"/>
      <c r="AK12" s="1248"/>
      <c r="AM12" s="1175"/>
      <c r="AN12" s="1175" t="str">
        <f t="shared" si="0"/>
        <v>Добавить источник для дифференциации</v>
      </c>
      <c r="AO12" s="1175"/>
      <c r="AP12" s="1175"/>
      <c r="AQ12" s="1566">
        <v>0</v>
      </c>
    </row>
    <row r="13" spans="1:43" s="1566" customFormat="1" ht="0.75" hidden="1" customHeight="1">
      <c r="A13" s="1299"/>
      <c r="B13" s="1299"/>
      <c r="C13" s="1298"/>
      <c r="D13" s="1298"/>
      <c r="E13" s="4060"/>
      <c r="F13" s="4059"/>
      <c r="G13" s="1298"/>
      <c r="H13" s="1298"/>
      <c r="I13" s="1298"/>
      <c r="J13" s="1298"/>
      <c r="K13" s="1298"/>
      <c r="L13" s="1301"/>
      <c r="M13" s="1303"/>
      <c r="N13" s="1303"/>
      <c r="O13" s="285"/>
      <c r="P13" s="1240"/>
      <c r="Q13" s="1241"/>
      <c r="R13" s="1240"/>
      <c r="S13" s="1246"/>
      <c r="T13" s="1249" t="s">
        <v>236</v>
      </c>
      <c r="U13" s="1248"/>
      <c r="V13" s="1248"/>
      <c r="W13" s="1248"/>
      <c r="X13" s="1248"/>
      <c r="Y13" s="1248"/>
      <c r="Z13" s="1248"/>
      <c r="AA13" s="1248"/>
      <c r="AB13" s="1248"/>
      <c r="AC13" s="1248"/>
      <c r="AD13" s="1248"/>
      <c r="AE13" s="1248"/>
      <c r="AF13" s="1248"/>
      <c r="AG13" s="1248"/>
      <c r="AH13" s="1248"/>
      <c r="AI13" s="1248"/>
      <c r="AJ13" s="1248"/>
      <c r="AK13" s="1248"/>
      <c r="AM13" s="1175"/>
      <c r="AN13" s="1175" t="str">
        <f t="shared" si="0"/>
        <v>Добавить централизованную систему для дифференциации</v>
      </c>
      <c r="AO13" s="1175"/>
      <c r="AP13" s="1175"/>
      <c r="AQ13" s="1566">
        <v>0</v>
      </c>
    </row>
    <row r="14" spans="1:43" s="1566" customFormat="1" ht="0.75" hidden="1" customHeight="1">
      <c r="A14" s="1299"/>
      <c r="B14" s="1299"/>
      <c r="C14" s="1299"/>
      <c r="D14" s="1299"/>
      <c r="E14" s="4059"/>
      <c r="F14" s="1299"/>
      <c r="G14" s="1299"/>
      <c r="H14" s="1299"/>
      <c r="I14" s="1299"/>
      <c r="J14" s="1299"/>
      <c r="K14" s="1299"/>
      <c r="L14" s="1305"/>
      <c r="M14" s="1303"/>
      <c r="N14" s="1303"/>
      <c r="O14" s="285"/>
      <c r="P14" s="314"/>
      <c r="Q14" s="1268"/>
      <c r="R14" s="314"/>
      <c r="S14" s="1246"/>
      <c r="T14" s="1249" t="s">
        <v>286</v>
      </c>
      <c r="U14" s="1248"/>
      <c r="V14" s="1248"/>
      <c r="W14" s="1248"/>
      <c r="X14" s="1248"/>
      <c r="Y14" s="1248"/>
      <c r="Z14" s="1248"/>
      <c r="AA14" s="1248"/>
      <c r="AB14" s="1248"/>
      <c r="AC14" s="1248"/>
      <c r="AD14" s="1248"/>
      <c r="AE14" s="1248"/>
      <c r="AF14" s="1248"/>
      <c r="AG14" s="1248"/>
      <c r="AH14" s="1248"/>
      <c r="AI14" s="1248"/>
      <c r="AJ14" s="1248"/>
      <c r="AK14" s="1248"/>
      <c r="AM14" s="1548"/>
      <c r="AN14" s="1548" t="str">
        <f t="shared" si="0"/>
        <v>Добавить территорию для дифференциации</v>
      </c>
      <c r="AO14" s="1548"/>
      <c r="AP14" s="1548"/>
      <c r="AQ14" s="1560">
        <v>0</v>
      </c>
    </row>
    <row r="15" spans="1:43" ht="14.25" hidden="1" customHeight="1">
      <c r="AQ15" s="1555">
        <v>0</v>
      </c>
    </row>
    <row r="16" spans="1:43" ht="14.25" hidden="1" customHeight="1">
      <c r="AC16" s="1426"/>
      <c r="AD16" s="1327"/>
      <c r="AE16" s="1328"/>
      <c r="AF16" s="1632"/>
      <c r="AG16" s="1858" t="s">
        <v>53</v>
      </c>
      <c r="AH16" s="1632"/>
      <c r="AI16" s="1858" t="s">
        <v>53</v>
      </c>
      <c r="AQ16" s="1555">
        <v>0</v>
      </c>
    </row>
    <row r="17" spans="1:43" ht="14.25" hidden="1" customHeight="1">
      <c r="AL17" s="1565"/>
      <c r="AM17" s="1565"/>
      <c r="AN17" s="1565"/>
      <c r="AO17" s="1565"/>
      <c r="AP17" s="1565"/>
      <c r="AQ17" s="1555">
        <v>0</v>
      </c>
    </row>
    <row r="18" spans="1:43" ht="14.25" hidden="1" customHeight="1">
      <c r="O18" s="1269" t="s">
        <v>622</v>
      </c>
      <c r="X18" s="1269"/>
      <c r="Z18" s="1269"/>
      <c r="AF18" s="1269"/>
      <c r="AH18" s="1269"/>
      <c r="AL18" s="1565"/>
      <c r="AM18" s="1565"/>
      <c r="AN18" s="1565"/>
      <c r="AO18" s="1565"/>
      <c r="AP18" s="1565"/>
      <c r="AQ18" s="1555">
        <v>0</v>
      </c>
    </row>
    <row r="19" spans="1:43" ht="14.25" hidden="1" customHeight="1">
      <c r="AL19" s="1565"/>
      <c r="AM19" s="1565"/>
      <c r="AN19" s="1565"/>
      <c r="AO19" s="1565"/>
      <c r="AP19" s="1565"/>
      <c r="AQ19" s="1555">
        <v>0</v>
      </c>
    </row>
    <row r="20" spans="1:43" s="1433" customFormat="1" ht="14.25" hidden="1" customHeight="1">
      <c r="A20" s="1863"/>
      <c r="B20" s="1863"/>
      <c r="C20" s="1863"/>
      <c r="D20" s="1863"/>
      <c r="E20" s="1863"/>
      <c r="F20" s="1863"/>
      <c r="G20" s="1863"/>
      <c r="H20" s="1863"/>
      <c r="I20" s="1863"/>
      <c r="J20" s="1863"/>
      <c r="K20" s="1863"/>
      <c r="L20" s="1863"/>
      <c r="M20" s="1864"/>
      <c r="N20" s="1864"/>
      <c r="O20" s="1865" t="s">
        <v>623</v>
      </c>
      <c r="P20" s="1432"/>
      <c r="Q20" s="1434"/>
      <c r="R20" s="1434"/>
      <c r="Y20" s="1431" t="s">
        <v>625</v>
      </c>
      <c r="AA20" s="1431" t="s">
        <v>626</v>
      </c>
      <c r="AC20" s="1431" t="s">
        <v>679</v>
      </c>
      <c r="AG20" s="1431" t="s">
        <v>625</v>
      </c>
      <c r="AI20" s="1431" t="s">
        <v>626</v>
      </c>
      <c r="AL20" s="1435"/>
      <c r="AM20" s="1435"/>
      <c r="AN20" s="1435"/>
      <c r="AO20" s="1435"/>
      <c r="AP20" s="1435"/>
      <c r="AQ20" s="1431">
        <v>0</v>
      </c>
    </row>
    <row r="21" spans="1:43" ht="14.25" hidden="1" customHeight="1">
      <c r="O21" s="1234"/>
      <c r="AL21" s="1565"/>
      <c r="AM21" s="1565"/>
      <c r="AN21" s="1565"/>
      <c r="AO21" s="1565"/>
      <c r="AP21" s="1565"/>
      <c r="AQ21" s="1555">
        <v>0</v>
      </c>
    </row>
    <row r="22" spans="1:43" ht="14.25" hidden="1" customHeight="1">
      <c r="O22" s="1234"/>
      <c r="AL22" s="1565"/>
      <c r="AM22" s="1565"/>
      <c r="AN22" s="1565"/>
      <c r="AO22" s="1565"/>
      <c r="AP22" s="1565"/>
      <c r="AQ22" s="1555">
        <v>0</v>
      </c>
    </row>
    <row r="23" spans="1:43" ht="14.65" customHeight="1">
      <c r="Q23" s="226"/>
      <c r="R23" s="310"/>
      <c r="S23" s="1199"/>
      <c r="T23" s="391"/>
      <c r="U23" s="391"/>
      <c r="AQ23" s="1555">
        <v>14</v>
      </c>
    </row>
    <row r="24" spans="1:43" ht="39.75" customHeight="1">
      <c r="Q24" s="226"/>
      <c r="R24" s="310"/>
      <c r="S24" s="40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4014"/>
      <c r="U24" s="4014"/>
      <c r="V24" s="4014"/>
      <c r="W24" s="4014"/>
      <c r="X24" s="4014"/>
      <c r="Y24" s="4014"/>
      <c r="Z24" s="4014"/>
      <c r="AA24" s="4014"/>
      <c r="AB24" s="4014"/>
      <c r="AC24" s="4014"/>
      <c r="AD24" s="4014"/>
      <c r="AE24" s="4014"/>
      <c r="AF24" s="4014"/>
      <c r="AG24" s="4014"/>
      <c r="AH24" s="4014"/>
      <c r="AI24" s="1167"/>
      <c r="AQ24" s="1555">
        <v>38</v>
      </c>
    </row>
    <row r="25" spans="1:43" ht="14.65" customHeight="1">
      <c r="Q25" s="226"/>
      <c r="R25" s="310"/>
      <c r="S25" s="3987" t="str">
        <f>IF(org=0,"Не определено",org)</f>
        <v>ООО "Смоленскрегионтеплоэнерго"</v>
      </c>
      <c r="T25" s="3987"/>
      <c r="U25" s="3987"/>
      <c r="V25" s="3987"/>
      <c r="W25" s="3987"/>
      <c r="X25" s="3987"/>
      <c r="Y25" s="3987"/>
      <c r="Z25" s="3987"/>
      <c r="AA25" s="3987"/>
      <c r="AB25" s="3987"/>
      <c r="AC25" s="3987"/>
      <c r="AD25" s="3987"/>
      <c r="AE25" s="3987"/>
      <c r="AF25" s="3987"/>
      <c r="AG25" s="3987"/>
      <c r="AH25" s="3987"/>
      <c r="AI25" s="1167"/>
      <c r="AQ25" s="1555">
        <v>14</v>
      </c>
    </row>
    <row r="26" spans="1:43" ht="14.25" hidden="1" customHeight="1">
      <c r="Q26" s="226"/>
      <c r="R26" s="310"/>
      <c r="S26" s="1199"/>
      <c r="T26" s="391"/>
      <c r="U26" s="391"/>
      <c r="V26" s="257"/>
      <c r="W26" s="257"/>
      <c r="X26" s="257"/>
      <c r="Y26" s="257"/>
      <c r="Z26" s="257"/>
      <c r="AA26" s="257"/>
      <c r="AB26" s="257"/>
      <c r="AC26" s="257"/>
      <c r="AD26" s="257"/>
      <c r="AE26" s="257"/>
      <c r="AF26" s="257"/>
      <c r="AG26" s="257"/>
      <c r="AH26" s="257"/>
      <c r="AI26" s="257"/>
      <c r="AQ26" s="1555">
        <v>0</v>
      </c>
    </row>
    <row r="27" spans="1:43" s="1748" customFormat="1" ht="25.5" hidden="1" customHeight="1">
      <c r="A27" s="1172"/>
      <c r="B27" s="1172"/>
      <c r="C27" s="1172"/>
      <c r="D27" s="1172"/>
      <c r="E27" s="1172"/>
      <c r="F27" s="1172"/>
      <c r="G27" s="1172"/>
      <c r="H27" s="1172"/>
      <c r="I27" s="1172"/>
      <c r="J27" s="1172"/>
      <c r="K27" s="1172"/>
      <c r="L27" s="1304"/>
      <c r="M27" s="1172"/>
      <c r="N27" s="1172"/>
      <c r="O27" s="1172"/>
      <c r="P27" s="1292"/>
      <c r="Q27" s="1292"/>
      <c r="S27" s="4024" t="s">
        <v>29</v>
      </c>
      <c r="T27" s="4024"/>
      <c r="U27" s="1296"/>
      <c r="V27" s="4026" t="str">
        <f>IF(TITLE_NAME_OR_PR_CHANGE="",IF(TITLE_NAME_OR_PR="","",TITLE_NAME_OR_PR),TITLE_NAME_OR_PR_CHANGE)</f>
        <v/>
      </c>
      <c r="W27" s="4026"/>
      <c r="X27" s="4026"/>
      <c r="Y27" s="4026"/>
      <c r="Z27" s="4026"/>
      <c r="AA27" s="1559"/>
      <c r="AB27" s="1559"/>
      <c r="AC27" s="4026"/>
      <c r="AD27" s="4026"/>
      <c r="AE27" s="4026"/>
      <c r="AF27" s="4026"/>
      <c r="AG27" s="4026"/>
      <c r="AH27" s="4026"/>
      <c r="AI27" s="1559"/>
      <c r="AJ27" s="1559"/>
      <c r="AK27" s="215"/>
      <c r="AL27" s="302"/>
      <c r="AM27" s="302"/>
      <c r="AN27" s="302"/>
      <c r="AO27" s="302"/>
      <c r="AP27" s="302"/>
      <c r="AQ27" s="352">
        <v>0</v>
      </c>
    </row>
    <row r="28" spans="1:43" s="1748" customFormat="1" ht="18.75" hidden="1" customHeight="1">
      <c r="A28" s="1172"/>
      <c r="B28" s="1172"/>
      <c r="C28" s="1172"/>
      <c r="D28" s="1172"/>
      <c r="E28" s="1172"/>
      <c r="F28" s="1172"/>
      <c r="G28" s="1172"/>
      <c r="H28" s="1172"/>
      <c r="I28" s="1172"/>
      <c r="J28" s="1172"/>
      <c r="K28" s="1172"/>
      <c r="L28" s="1304"/>
      <c r="M28" s="1172"/>
      <c r="N28" s="1172"/>
      <c r="O28" s="1172"/>
      <c r="P28" s="1292"/>
      <c r="Q28" s="1292"/>
      <c r="S28" s="4024" t="s">
        <v>628</v>
      </c>
      <c r="T28" s="4024"/>
      <c r="U28" s="1296"/>
      <c r="V28" s="4025">
        <f>IF(TITLE_DATE_PR_CHANGE="",IF(TITLE_DATE_PR="","",TITLE_DATE_PR),TITLE_DATE_PR_CHANGE)</f>
        <v>45765</v>
      </c>
      <c r="W28" s="4025"/>
      <c r="X28" s="4025"/>
      <c r="Y28" s="4025"/>
      <c r="Z28" s="4025"/>
      <c r="AA28" s="1559"/>
      <c r="AB28" s="1559"/>
      <c r="AC28" s="4025"/>
      <c r="AD28" s="4025"/>
      <c r="AE28" s="4025"/>
      <c r="AF28" s="4025"/>
      <c r="AG28" s="4025"/>
      <c r="AH28" s="4025"/>
      <c r="AI28" s="1559"/>
      <c r="AJ28" s="1559"/>
      <c r="AK28" s="215"/>
      <c r="AL28" s="302"/>
      <c r="AM28" s="302"/>
      <c r="AN28" s="302"/>
      <c r="AO28" s="302"/>
      <c r="AP28" s="302"/>
      <c r="AQ28" s="352">
        <v>0</v>
      </c>
    </row>
    <row r="29" spans="1:43" s="1748" customFormat="1" ht="18.75" hidden="1" customHeight="1">
      <c r="A29" s="1172"/>
      <c r="B29" s="1172"/>
      <c r="C29" s="1172"/>
      <c r="D29" s="1172"/>
      <c r="E29" s="1172"/>
      <c r="F29" s="1172"/>
      <c r="G29" s="1172"/>
      <c r="H29" s="1172"/>
      <c r="I29" s="1172"/>
      <c r="J29" s="1172"/>
      <c r="K29" s="1172"/>
      <c r="L29" s="1304"/>
      <c r="M29" s="1172"/>
      <c r="N29" s="1172"/>
      <c r="O29" s="1172"/>
      <c r="P29" s="1292"/>
      <c r="Q29" s="1292"/>
      <c r="S29" s="4024" t="s">
        <v>629</v>
      </c>
      <c r="T29" s="4024"/>
      <c r="U29" s="1296"/>
      <c r="V29" s="4026" t="str">
        <f>IF(TITLE_NUMBER_PR_CHANGE="",IF(TITLE_NUMBER_PR="","",TITLE_NUMBER_PR),TITLE_NUMBER_PR_CHANGE)</f>
        <v>917</v>
      </c>
      <c r="W29" s="4026"/>
      <c r="X29" s="4026"/>
      <c r="Y29" s="4026"/>
      <c r="Z29" s="4026"/>
      <c r="AA29" s="1559"/>
      <c r="AB29" s="1559"/>
      <c r="AC29" s="4026"/>
      <c r="AD29" s="4026"/>
      <c r="AE29" s="4026"/>
      <c r="AF29" s="4026"/>
      <c r="AG29" s="4026"/>
      <c r="AH29" s="4026"/>
      <c r="AI29" s="1559"/>
      <c r="AJ29" s="1559"/>
      <c r="AK29" s="215"/>
      <c r="AL29" s="302"/>
      <c r="AM29" s="302"/>
      <c r="AN29" s="302"/>
      <c r="AO29" s="302"/>
      <c r="AP29" s="302"/>
      <c r="AQ29" s="352">
        <v>0</v>
      </c>
    </row>
    <row r="30" spans="1:43" s="1748" customFormat="1" ht="18.75" hidden="1" customHeight="1">
      <c r="A30" s="1172"/>
      <c r="B30" s="1172"/>
      <c r="C30" s="1172"/>
      <c r="D30" s="1172"/>
      <c r="E30" s="1172"/>
      <c r="F30" s="1172"/>
      <c r="G30" s="1172"/>
      <c r="H30" s="1172"/>
      <c r="I30" s="1172"/>
      <c r="J30" s="1172"/>
      <c r="K30" s="1172"/>
      <c r="L30" s="1304"/>
      <c r="M30" s="1172"/>
      <c r="N30" s="1172"/>
      <c r="O30" s="1172"/>
      <c r="P30" s="1292"/>
      <c r="Q30" s="1292"/>
      <c r="S30" s="4024" t="s">
        <v>30</v>
      </c>
      <c r="T30" s="4024"/>
      <c r="U30" s="1296"/>
      <c r="V30" s="4026" t="str">
        <f>IF(TITLE_IST_PUB_CHANGE="",IF(TITLE_IST_PUB="","",TITLE_IST_PUB),TITLE_IST_PUB_CHANGE)</f>
        <v/>
      </c>
      <c r="W30" s="4026"/>
      <c r="X30" s="4026"/>
      <c r="Y30" s="4026"/>
      <c r="Z30" s="4026"/>
      <c r="AA30" s="1559"/>
      <c r="AB30" s="1559"/>
      <c r="AC30" s="4026"/>
      <c r="AD30" s="4026"/>
      <c r="AE30" s="4026"/>
      <c r="AF30" s="4026"/>
      <c r="AG30" s="4026"/>
      <c r="AH30" s="4026"/>
      <c r="AI30" s="1559"/>
      <c r="AJ30" s="1559"/>
      <c r="AK30" s="215"/>
      <c r="AL30" s="302"/>
      <c r="AM30" s="302"/>
      <c r="AN30" s="302"/>
      <c r="AO30" s="302"/>
      <c r="AP30" s="302"/>
      <c r="AQ30" s="352">
        <v>0</v>
      </c>
    </row>
    <row r="31" spans="1:43" ht="14.25" hidden="1" customHeight="1">
      <c r="Q31" s="226"/>
      <c r="R31" s="310"/>
      <c r="S31" s="1199"/>
      <c r="T31" s="391"/>
      <c r="U31" s="391"/>
      <c r="V31" s="257"/>
      <c r="W31" s="257"/>
      <c r="X31" s="257"/>
      <c r="Y31" s="257"/>
      <c r="Z31" s="257"/>
      <c r="AA31" s="257"/>
      <c r="AB31" s="257"/>
      <c r="AC31" s="257"/>
      <c r="AD31" s="257"/>
      <c r="AE31" s="257"/>
      <c r="AF31" s="257"/>
      <c r="AG31" s="257"/>
      <c r="AH31" s="257"/>
      <c r="AI31" s="257"/>
      <c r="AQ31" s="1555">
        <v>0</v>
      </c>
    </row>
    <row r="32" spans="1:43" s="1748" customFormat="1" ht="18.75" hidden="1" customHeight="1">
      <c r="A32" s="1172"/>
      <c r="B32" s="1172"/>
      <c r="C32" s="1172"/>
      <c r="D32" s="1172"/>
      <c r="E32" s="1172"/>
      <c r="F32" s="1172"/>
      <c r="G32" s="1172"/>
      <c r="H32" s="1172"/>
      <c r="I32" s="1172"/>
      <c r="J32" s="1172"/>
      <c r="K32" s="1172"/>
      <c r="L32" s="1304"/>
      <c r="M32" s="1172"/>
      <c r="N32" s="1172"/>
      <c r="O32" s="1172"/>
      <c r="P32" s="1292"/>
      <c r="Q32" s="1292"/>
      <c r="S32" s="4024" t="s">
        <v>628</v>
      </c>
      <c r="T32" s="4024"/>
      <c r="U32" s="1296"/>
      <c r="V32" s="4025">
        <f>IF(TITLE_DATE_PR_CHANGE="",IF(TITLE_DATE_PR="","",TITLE_DATE_PR),TITLE_DATE_PR_CHANGE)</f>
        <v>45765</v>
      </c>
      <c r="W32" s="4025"/>
      <c r="X32" s="4025"/>
      <c r="Y32" s="4025"/>
      <c r="Z32" s="4025"/>
      <c r="AA32" s="1559"/>
      <c r="AB32" s="1559"/>
      <c r="AC32" s="4025"/>
      <c r="AD32" s="4025"/>
      <c r="AE32" s="4025"/>
      <c r="AF32" s="4025"/>
      <c r="AG32" s="4025"/>
      <c r="AH32" s="4025"/>
      <c r="AI32" s="1559"/>
      <c r="AJ32" s="1559"/>
      <c r="AK32" s="215"/>
      <c r="AL32" s="302"/>
      <c r="AM32" s="302"/>
      <c r="AN32" s="302"/>
      <c r="AO32" s="302"/>
      <c r="AP32" s="302"/>
      <c r="AQ32" s="352">
        <v>0</v>
      </c>
    </row>
    <row r="33" spans="1:43" s="1748" customFormat="1" ht="18" hidden="1" customHeight="1">
      <c r="A33" s="1172"/>
      <c r="B33" s="1172"/>
      <c r="C33" s="1172"/>
      <c r="D33" s="1172"/>
      <c r="E33" s="1172"/>
      <c r="F33" s="1172"/>
      <c r="G33" s="1172"/>
      <c r="H33" s="1172"/>
      <c r="I33" s="1172"/>
      <c r="J33" s="1172"/>
      <c r="K33" s="1172"/>
      <c r="L33" s="1304"/>
      <c r="M33" s="1172"/>
      <c r="N33" s="1172"/>
      <c r="O33" s="1172"/>
      <c r="P33" s="1292"/>
      <c r="Q33" s="1292"/>
      <c r="S33" s="4024" t="s">
        <v>629</v>
      </c>
      <c r="T33" s="4024"/>
      <c r="U33" s="1296"/>
      <c r="V33" s="4026" t="str">
        <f>IF(TITLE_NUMBER_PR_CHANGE="",IF(TITLE_NUMBER_PR="","",TITLE_NUMBER_PR),TITLE_NUMBER_PR_CHANGE)</f>
        <v>917</v>
      </c>
      <c r="W33" s="4026"/>
      <c r="X33" s="4026"/>
      <c r="Y33" s="4026"/>
      <c r="Z33" s="4026"/>
      <c r="AA33" s="1559"/>
      <c r="AB33" s="1559"/>
      <c r="AC33" s="4026"/>
      <c r="AD33" s="4026"/>
      <c r="AE33" s="4026"/>
      <c r="AF33" s="4026"/>
      <c r="AG33" s="4026"/>
      <c r="AH33" s="4026"/>
      <c r="AI33" s="1559"/>
      <c r="AJ33" s="1559"/>
      <c r="AK33" s="215"/>
      <c r="AL33" s="302"/>
      <c r="AM33" s="302"/>
      <c r="AN33" s="302"/>
      <c r="AO33" s="302"/>
      <c r="AP33" s="302"/>
      <c r="AQ33" s="352">
        <v>0</v>
      </c>
    </row>
    <row r="34" spans="1:43" s="1748" customFormat="1" ht="1.1499999999999999" customHeight="1">
      <c r="A34" s="1172"/>
      <c r="B34" s="1172"/>
      <c r="C34" s="1172"/>
      <c r="D34" s="1172"/>
      <c r="E34" s="1172"/>
      <c r="F34" s="1172"/>
      <c r="G34" s="1172"/>
      <c r="H34" s="1172"/>
      <c r="I34" s="1172"/>
      <c r="J34" s="1172"/>
      <c r="K34" s="1172"/>
      <c r="L34" s="1304"/>
      <c r="M34" s="1172"/>
      <c r="N34" s="1172"/>
      <c r="O34" s="1172"/>
      <c r="P34" s="1292"/>
      <c r="Q34" s="1292"/>
      <c r="S34" s="1559"/>
      <c r="T34" s="1559"/>
      <c r="U34" s="1862"/>
      <c r="V34" s="1559"/>
      <c r="W34" s="1559"/>
      <c r="X34" s="1559"/>
      <c r="Y34" s="1559"/>
      <c r="Z34" s="1559"/>
      <c r="AA34" s="1566" t="s">
        <v>632</v>
      </c>
      <c r="AB34" s="1566"/>
      <c r="AC34" s="1559"/>
      <c r="AD34" s="1559"/>
      <c r="AE34" s="1559"/>
      <c r="AF34" s="1559"/>
      <c r="AG34" s="1559"/>
      <c r="AH34" s="1559"/>
      <c r="AI34" s="1566" t="s">
        <v>632</v>
      </c>
      <c r="AL34" s="302"/>
      <c r="AM34" s="302"/>
      <c r="AN34" s="302"/>
      <c r="AO34" s="302"/>
      <c r="AP34" s="302"/>
      <c r="AQ34" s="352">
        <v>1</v>
      </c>
    </row>
    <row r="35" spans="1:43" ht="14.65" customHeight="1">
      <c r="Q35" s="226"/>
      <c r="R35" s="310"/>
      <c r="S35" s="1199"/>
      <c r="T35" s="391"/>
      <c r="U35" s="1168"/>
      <c r="V35" s="4045"/>
      <c r="W35" s="4045"/>
      <c r="X35" s="4045"/>
      <c r="Y35" s="4045"/>
      <c r="Z35" s="4045"/>
      <c r="AA35" s="4045"/>
      <c r="AB35" s="1849"/>
      <c r="AC35" s="4045"/>
      <c r="AD35" s="4045"/>
      <c r="AE35" s="4045"/>
      <c r="AF35" s="4045"/>
      <c r="AG35" s="4045"/>
      <c r="AH35" s="4045"/>
      <c r="AI35" s="4045"/>
      <c r="AQ35" s="1555">
        <v>14</v>
      </c>
    </row>
    <row r="36" spans="1:43" ht="14.65" customHeight="1">
      <c r="Q36" s="226"/>
      <c r="R36" s="310"/>
      <c r="S36" s="3889" t="s">
        <v>508</v>
      </c>
      <c r="T36" s="3889"/>
      <c r="U36" s="3889"/>
      <c r="V36" s="3889"/>
      <c r="W36" s="3889"/>
      <c r="X36" s="3889"/>
      <c r="Y36" s="3889"/>
      <c r="Z36" s="3889"/>
      <c r="AA36" s="3967"/>
      <c r="AB36" s="3967"/>
      <c r="AC36" s="3967"/>
      <c r="AD36" s="3889"/>
      <c r="AE36" s="3889"/>
      <c r="AF36" s="3889"/>
      <c r="AG36" s="3889"/>
      <c r="AH36" s="3889"/>
      <c r="AI36" s="3889"/>
      <c r="AJ36" s="3889"/>
      <c r="AK36" s="3889" t="s">
        <v>509</v>
      </c>
      <c r="AQ36" s="1555">
        <v>14</v>
      </c>
    </row>
    <row r="37" spans="1:43" ht="14.65" customHeight="1">
      <c r="Q37" s="226"/>
      <c r="R37" s="310"/>
      <c r="S37" s="4046" t="s">
        <v>75</v>
      </c>
      <c r="T37" s="3995" t="s">
        <v>708</v>
      </c>
      <c r="U37" s="272"/>
      <c r="V37" s="4048"/>
      <c r="W37" s="4048"/>
      <c r="X37" s="4048"/>
      <c r="Y37" s="4048"/>
      <c r="Z37" s="4048"/>
      <c r="AA37" s="3995" t="s">
        <v>635</v>
      </c>
      <c r="AB37" s="3994" t="s">
        <v>709</v>
      </c>
      <c r="AC37" s="3994" t="s">
        <v>683</v>
      </c>
      <c r="AD37" s="4063" t="s">
        <v>634</v>
      </c>
      <c r="AE37" s="4063"/>
      <c r="AF37" s="4048"/>
      <c r="AG37" s="4048"/>
      <c r="AH37" s="4049"/>
      <c r="AI37" s="4050" t="s">
        <v>635</v>
      </c>
      <c r="AJ37" s="4053" t="s">
        <v>637</v>
      </c>
      <c r="AK37" s="3889"/>
      <c r="AQ37" s="1555">
        <v>14</v>
      </c>
    </row>
    <row r="38" spans="1:43" ht="35.65" customHeight="1">
      <c r="Q38" s="226"/>
      <c r="R38" s="310"/>
      <c r="S38" s="4046"/>
      <c r="T38" s="3995"/>
      <c r="U38" s="958"/>
      <c r="V38" s="3869" t="s">
        <v>686</v>
      </c>
      <c r="W38" s="3889"/>
      <c r="X38" s="3968" t="s">
        <v>641</v>
      </c>
      <c r="Y38" s="4075"/>
      <c r="Z38" s="4075"/>
      <c r="AA38" s="3995"/>
      <c r="AB38" s="3994"/>
      <c r="AC38" s="3994"/>
      <c r="AD38" s="3869" t="s">
        <v>686</v>
      </c>
      <c r="AE38" s="3889"/>
      <c r="AF38" s="4075" t="s">
        <v>641</v>
      </c>
      <c r="AG38" s="4075"/>
      <c r="AH38" s="3969"/>
      <c r="AI38" s="4051"/>
      <c r="AJ38" s="4054"/>
      <c r="AK38" s="3889"/>
      <c r="AQ38" s="1555">
        <v>34</v>
      </c>
    </row>
    <row r="39" spans="1:43" ht="14.65" customHeight="1">
      <c r="Q39" s="226"/>
      <c r="R39" s="310"/>
      <c r="S39" s="4046"/>
      <c r="T39" s="3995"/>
      <c r="U39" s="958"/>
      <c r="V39" s="4099" t="str">
        <f>IF($AD$39&lt;&gt;"",$AD$39,"")</f>
        <v/>
      </c>
      <c r="W39" s="4099"/>
      <c r="X39" s="3973"/>
      <c r="Y39" s="4076"/>
      <c r="Z39" s="4076"/>
      <c r="AA39" s="3995"/>
      <c r="AB39" s="3994"/>
      <c r="AC39" s="3994"/>
      <c r="AD39" s="4108"/>
      <c r="AE39" s="4098"/>
      <c r="AF39" s="4076"/>
      <c r="AG39" s="4076"/>
      <c r="AH39" s="3974"/>
      <c r="AI39" s="4051"/>
      <c r="AJ39" s="4054"/>
      <c r="AK39" s="3889"/>
      <c r="AQ39" s="1555">
        <v>14</v>
      </c>
    </row>
    <row r="40" spans="1:43" ht="14.65" customHeight="1">
      <c r="A40" s="1190"/>
      <c r="B40" s="1190" t="s">
        <v>207</v>
      </c>
      <c r="C40" s="1190" t="s">
        <v>208</v>
      </c>
      <c r="D40" s="1190" t="s">
        <v>209</v>
      </c>
      <c r="E40" s="1234" t="s">
        <v>642</v>
      </c>
      <c r="F40" s="1234" t="s">
        <v>643</v>
      </c>
      <c r="G40" s="1234" t="s">
        <v>644</v>
      </c>
      <c r="H40" s="1234" t="s">
        <v>645</v>
      </c>
      <c r="I40" s="1234" t="s">
        <v>646</v>
      </c>
      <c r="J40" s="1234" t="s">
        <v>647</v>
      </c>
      <c r="K40" s="1234" t="s">
        <v>648</v>
      </c>
      <c r="L40" s="1234" t="s">
        <v>623</v>
      </c>
      <c r="Q40" s="226"/>
      <c r="R40" s="310"/>
      <c r="S40" s="4046"/>
      <c r="T40" s="3995"/>
      <c r="U40" s="237"/>
      <c r="V40" s="1842" t="s">
        <v>687</v>
      </c>
      <c r="W40" s="1842" t="s">
        <v>688</v>
      </c>
      <c r="X40" s="1830" t="s">
        <v>651</v>
      </c>
      <c r="Y40" s="4000" t="s">
        <v>652</v>
      </c>
      <c r="Z40" s="4012"/>
      <c r="AA40" s="3995"/>
      <c r="AB40" s="3994"/>
      <c r="AC40" s="3994"/>
      <c r="AD40" s="1860" t="s">
        <v>687</v>
      </c>
      <c r="AE40" s="1851" t="s">
        <v>688</v>
      </c>
      <c r="AF40" s="1830" t="s">
        <v>651</v>
      </c>
      <c r="AG40" s="4000" t="s">
        <v>652</v>
      </c>
      <c r="AH40" s="4013"/>
      <c r="AI40" s="4052"/>
      <c r="AJ40" s="4055"/>
      <c r="AK40" s="3889"/>
      <c r="AQ40" s="1555">
        <v>14</v>
      </c>
    </row>
    <row r="41" spans="1:43" s="1565" customFormat="1" ht="11.25" hidden="1" customHeight="1">
      <c r="A41" s="1190"/>
      <c r="B41" s="1190"/>
      <c r="C41" s="1190"/>
      <c r="D41" s="1190"/>
      <c r="E41" s="1190"/>
      <c r="F41" s="1190"/>
      <c r="G41" s="1190"/>
      <c r="H41" s="1190"/>
      <c r="I41" s="1190"/>
      <c r="J41" s="1190"/>
      <c r="K41" s="1190"/>
      <c r="L41" s="1234"/>
      <c r="M41" s="1857"/>
      <c r="N41" s="1857"/>
      <c r="O41" s="1857"/>
      <c r="P41" s="444"/>
      <c r="Q41" s="1178"/>
      <c r="R41" s="1178">
        <v>1</v>
      </c>
      <c r="S41" s="1201" t="s">
        <v>184</v>
      </c>
      <c r="T41" s="1179" t="s">
        <v>89</v>
      </c>
      <c r="U41" s="1169" t="str">
        <f ca="1">OFFSET(U41,0,-1)</f>
        <v>2</v>
      </c>
      <c r="V41" s="1848">
        <f ca="1">OFFSET(V41,0,-1)+1</f>
        <v>3</v>
      </c>
      <c r="W41" s="1848">
        <f ca="1">OFFSET(W41,0,-1)+1</f>
        <v>4</v>
      </c>
      <c r="X41" s="1848">
        <f ca="1">OFFSET(X41,0,-1)+1</f>
        <v>5</v>
      </c>
      <c r="Y41" s="4044">
        <f ca="1">OFFSET(Y41,0,-1)+1</f>
        <v>6</v>
      </c>
      <c r="Z41" s="4044"/>
      <c r="AA41" s="1265">
        <f ca="1">OFFSET(AA41,0,-2)+1</f>
        <v>7</v>
      </c>
      <c r="AB41" s="1265"/>
      <c r="AC41" s="1265"/>
      <c r="AD41" s="1848">
        <f ca="1">OFFSET(AD41,0,-1)+1</f>
        <v>1</v>
      </c>
      <c r="AE41" s="1848">
        <f ca="1">OFFSET(AE41,0,-1)+1</f>
        <v>2</v>
      </c>
      <c r="AF41" s="1848">
        <f ca="1">OFFSET(AF41,0,-1)+1</f>
        <v>3</v>
      </c>
      <c r="AG41" s="4044">
        <f ca="1">OFFSET(AG41,0,-1)+1</f>
        <v>4</v>
      </c>
      <c r="AH41" s="4044"/>
      <c r="AI41" s="1848">
        <f ca="1">OFFSET(AI41,0,-2)+1</f>
        <v>5</v>
      </c>
      <c r="AJ41" s="1169">
        <f ca="1">OFFSET(AJ41,0,-1)</f>
        <v>5</v>
      </c>
      <c r="AK41" s="1848">
        <f ca="1">OFFSET(AK41,0,-1)+1</f>
        <v>6</v>
      </c>
      <c r="AL41" s="1560"/>
      <c r="AM41" s="1560"/>
      <c r="AN41" s="1560"/>
      <c r="AO41" s="1560"/>
      <c r="AP41" s="1560"/>
      <c r="AQ41" s="1565">
        <v>0</v>
      </c>
    </row>
    <row r="42" spans="1:43" ht="107.25" customHeight="1">
      <c r="A42" s="1191" t="s">
        <v>414</v>
      </c>
      <c r="B42" s="1191"/>
      <c r="C42" s="1191"/>
      <c r="D42" s="1191"/>
      <c r="E42" s="4059">
        <v>1</v>
      </c>
      <c r="F42" s="1191"/>
      <c r="G42" s="1191"/>
      <c r="H42" s="1191"/>
      <c r="I42" s="1191"/>
      <c r="J42" s="1191"/>
      <c r="K42" s="1191"/>
      <c r="L42" s="1234"/>
      <c r="M42" s="1534"/>
      <c r="N42" s="1534"/>
      <c r="O42" s="1534"/>
      <c r="P42" s="1333"/>
      <c r="Q42" s="801"/>
      <c r="R42" s="289"/>
      <c r="S42" s="1850">
        <f>INDEX(PT_DIFFERENTIATION_NUM_NTAR,MATCH(A42,PT_DIFFERENTIATION_NTAR_ID,0))</f>
        <v>0</v>
      </c>
      <c r="T42" s="1449" t="s">
        <v>195</v>
      </c>
      <c r="U42" s="235"/>
      <c r="V42" s="4028"/>
      <c r="W42" s="4028"/>
      <c r="X42" s="4028"/>
      <c r="Y42" s="4028"/>
      <c r="Z42" s="4028"/>
      <c r="AA42" s="4029"/>
      <c r="AB42" s="1844"/>
      <c r="AC42" s="4028" t="str">
        <f>INDEX(PT_DIFFERENTIATION_NTAR,MATCH(A42,PT_DIFFERENTIATION_NTAR_ID,0))</f>
        <v/>
      </c>
      <c r="AD42" s="4028"/>
      <c r="AE42" s="4028"/>
      <c r="AF42" s="4028"/>
      <c r="AG42" s="4028"/>
      <c r="AH42" s="4028"/>
      <c r="AI42" s="4028"/>
      <c r="AJ42" s="4029"/>
      <c r="AK42"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8"/>
      <c r="AN42" s="1548" t="str">
        <f t="shared" ref="AN42:AN56" si="1">IF(T42="","",T42)</f>
        <v>Наименование тарифа</v>
      </c>
      <c r="AO42" s="1548"/>
      <c r="AP42" s="1548"/>
      <c r="AQ42" s="1555">
        <v>102</v>
      </c>
    </row>
    <row r="43" spans="1:43" ht="21.95" customHeight="1">
      <c r="A43" s="1191" t="s">
        <v>414</v>
      </c>
      <c r="B43" s="1191" t="s">
        <v>415</v>
      </c>
      <c r="C43" s="1191"/>
      <c r="D43" s="1191"/>
      <c r="E43" s="4060"/>
      <c r="F43" s="4059">
        <v>1</v>
      </c>
      <c r="G43" s="1191"/>
      <c r="H43" s="1191"/>
      <c r="I43" s="1191"/>
      <c r="J43" s="1191"/>
      <c r="K43" s="1191"/>
      <c r="L43" s="1234"/>
      <c r="M43" s="1534"/>
      <c r="N43" s="1534"/>
      <c r="O43" s="1534"/>
      <c r="P43" s="1861"/>
      <c r="Q43" s="1335"/>
      <c r="R43" s="287"/>
      <c r="S43" s="1850" t="str">
        <f>INDEX(PT_DIFFERENTIATION_NUM_TER,MATCH(B43,PT_DIFFERENTIATION_TER_ID,0))</f>
        <v>.</v>
      </c>
      <c r="T43" s="1446" t="s">
        <v>605</v>
      </c>
      <c r="U43" s="235"/>
      <c r="V43" s="4028"/>
      <c r="W43" s="4028"/>
      <c r="X43" s="4028"/>
      <c r="Y43" s="4028"/>
      <c r="Z43" s="4028"/>
      <c r="AA43" s="4029"/>
      <c r="AB43" s="1844"/>
      <c r="AC43" s="4028" t="str">
        <f>INDEX(PT_DIFFERENTIATION_TER,MATCH(B43,PT_DIFFERENTIATION_TER_ID,0))</f>
        <v/>
      </c>
      <c r="AD43" s="4028"/>
      <c r="AE43" s="4028"/>
      <c r="AF43" s="4028"/>
      <c r="AG43" s="4028"/>
      <c r="AH43" s="4028"/>
      <c r="AI43" s="4028"/>
      <c r="AJ43" s="4029"/>
      <c r="AK43" s="1182" t="s">
        <v>606</v>
      </c>
      <c r="AM43" s="1548"/>
      <c r="AN43" s="1548" t="str">
        <f t="shared" si="1"/>
        <v>Территория действия тарифа</v>
      </c>
      <c r="AO43" s="1548"/>
      <c r="AP43" s="1548"/>
      <c r="AQ43" s="1555">
        <v>21</v>
      </c>
    </row>
    <row r="44" spans="1:43" ht="24" customHeight="1">
      <c r="A44" s="1191" t="s">
        <v>414</v>
      </c>
      <c r="B44" s="1191" t="s">
        <v>415</v>
      </c>
      <c r="C44" s="1191" t="s">
        <v>416</v>
      </c>
      <c r="D44" s="1191"/>
      <c r="E44" s="4060"/>
      <c r="F44" s="4060"/>
      <c r="G44" s="4059">
        <v>1</v>
      </c>
      <c r="H44" s="1191"/>
      <c r="I44" s="1191"/>
      <c r="J44" s="1191"/>
      <c r="K44" s="1191"/>
      <c r="L44" s="1234"/>
      <c r="M44" s="1534"/>
      <c r="N44" s="1534"/>
      <c r="O44" s="1534"/>
      <c r="P44" s="1336"/>
      <c r="Q44" s="1335"/>
      <c r="R44" s="287"/>
      <c r="S44" s="1850" t="str">
        <f>INDEX(PT_DIFFERENTIATION_NUM_CS,MATCH(C44,PT_DIFFERENTIATION_CS_ID,0))</f>
        <v>..</v>
      </c>
      <c r="T44" s="244" t="s">
        <v>607</v>
      </c>
      <c r="U44" s="235"/>
      <c r="V44" s="4028"/>
      <c r="W44" s="4028"/>
      <c r="X44" s="4028"/>
      <c r="Y44" s="4028"/>
      <c r="Z44" s="4028"/>
      <c r="AA44" s="4029"/>
      <c r="AB44" s="1844"/>
      <c r="AC44" s="4028" t="str">
        <f>INDEX(PT_DIFFERENTIATION_CS,MATCH(C44,PT_DIFFERENTIATION_CS_ID,0))</f>
        <v/>
      </c>
      <c r="AD44" s="4028"/>
      <c r="AE44" s="4028"/>
      <c r="AF44" s="4028"/>
      <c r="AG44" s="4028"/>
      <c r="AH44" s="4028"/>
      <c r="AI44" s="4028"/>
      <c r="AJ44" s="4029"/>
      <c r="AK44" s="1182" t="s">
        <v>608</v>
      </c>
      <c r="AM44" s="1548"/>
      <c r="AN44" s="1548" t="str">
        <f t="shared" si="1"/>
        <v xml:space="preserve">Наименование системы теплоснабжения </v>
      </c>
      <c r="AO44" s="1548"/>
      <c r="AP44" s="1548"/>
      <c r="AQ44" s="1555">
        <v>23</v>
      </c>
    </row>
    <row r="45" spans="1:43" ht="21.95" customHeight="1">
      <c r="A45" s="1191" t="s">
        <v>414</v>
      </c>
      <c r="B45" s="1191" t="s">
        <v>415</v>
      </c>
      <c r="C45" s="1191" t="s">
        <v>416</v>
      </c>
      <c r="D45" s="1191" t="s">
        <v>417</v>
      </c>
      <c r="E45" s="4060"/>
      <c r="F45" s="4060"/>
      <c r="G45" s="4060"/>
      <c r="H45" s="4059">
        <v>1</v>
      </c>
      <c r="I45" s="1191"/>
      <c r="J45" s="1191"/>
      <c r="K45" s="1191"/>
      <c r="L45" s="1234"/>
      <c r="M45" s="1534"/>
      <c r="N45" s="1534"/>
      <c r="O45" s="1534"/>
      <c r="P45" s="1336"/>
      <c r="Q45" s="1335"/>
      <c r="R45" s="287"/>
      <c r="S45" s="1850" t="str">
        <f>INDEX(PT_DIFFERENTIATION_NUM_IST_TE,MATCH(D45,PT_DIFFERENTIATION_IST_TE_ID,0))</f>
        <v>...</v>
      </c>
      <c r="T45" s="245" t="s">
        <v>609</v>
      </c>
      <c r="U45" s="235"/>
      <c r="V45" s="4028"/>
      <c r="W45" s="4028"/>
      <c r="X45" s="4028"/>
      <c r="Y45" s="4028"/>
      <c r="Z45" s="4028"/>
      <c r="AA45" s="4029"/>
      <c r="AB45" s="1844"/>
      <c r="AC45" s="4028" t="str">
        <f>INDEX(PT_DIFFERENTIATION_IST_TE,MATCH(D45,PT_DIFFERENTIATION_IST_TE_ID,0))</f>
        <v/>
      </c>
      <c r="AD45" s="4028"/>
      <c r="AE45" s="4028"/>
      <c r="AF45" s="4028"/>
      <c r="AG45" s="4028"/>
      <c r="AH45" s="4028"/>
      <c r="AI45" s="4028"/>
      <c r="AJ45" s="4029"/>
      <c r="AK45" s="1182" t="s">
        <v>610</v>
      </c>
      <c r="AM45" s="1548"/>
      <c r="AN45" s="1548" t="str">
        <f t="shared" si="1"/>
        <v xml:space="preserve">Источник тепловой энергии  </v>
      </c>
      <c r="AO45" s="1548"/>
      <c r="AP45" s="1548"/>
      <c r="AQ45" s="1555">
        <v>21</v>
      </c>
    </row>
    <row r="46" spans="1:43" s="1566" customFormat="1" ht="0" hidden="1" customHeight="1">
      <c r="A46" s="1299" t="s">
        <v>414</v>
      </c>
      <c r="B46" s="1299" t="s">
        <v>415</v>
      </c>
      <c r="C46" s="1299" t="s">
        <v>416</v>
      </c>
      <c r="D46" s="1299" t="s">
        <v>417</v>
      </c>
      <c r="E46" s="4060"/>
      <c r="F46" s="4060"/>
      <c r="G46" s="4060"/>
      <c r="H46" s="4060"/>
      <c r="I46" s="3889" t="str">
        <f>S45&amp;".1"</f>
        <v>....1</v>
      </c>
      <c r="J46" s="1299"/>
      <c r="K46" s="1299"/>
      <c r="L46" s="1305" t="s">
        <v>611</v>
      </c>
      <c r="M46" s="1170"/>
      <c r="N46" s="1170"/>
      <c r="O46" s="1170"/>
      <c r="P46" s="4037">
        <v>1</v>
      </c>
      <c r="Q46" s="1846"/>
      <c r="R46" s="290"/>
      <c r="S46" s="969"/>
      <c r="T46" s="1307"/>
      <c r="U46" s="1308"/>
      <c r="V46" s="4065"/>
      <c r="W46" s="4065"/>
      <c r="X46" s="4065"/>
      <c r="Y46" s="4065"/>
      <c r="Z46" s="4065"/>
      <c r="AA46" s="4066"/>
      <c r="AB46" s="1852"/>
      <c r="AC46" s="4065"/>
      <c r="AD46" s="4065"/>
      <c r="AE46" s="4065"/>
      <c r="AF46" s="4065"/>
      <c r="AG46" s="4065"/>
      <c r="AH46" s="4065"/>
      <c r="AI46" s="4065"/>
      <c r="AJ46" s="4066"/>
      <c r="AK46" s="1309"/>
      <c r="AM46" s="1548"/>
      <c r="AN46" s="1548" t="str">
        <f t="shared" si="1"/>
        <v/>
      </c>
      <c r="AO46" s="1548"/>
      <c r="AP46" s="1548"/>
      <c r="AQ46" s="1560">
        <v>0</v>
      </c>
    </row>
    <row r="47" spans="1:43" s="1566" customFormat="1" ht="0" hidden="1" customHeight="1">
      <c r="A47" s="1299" t="s">
        <v>414</v>
      </c>
      <c r="B47" s="1299" t="s">
        <v>415</v>
      </c>
      <c r="C47" s="1299" t="s">
        <v>416</v>
      </c>
      <c r="D47" s="1299" t="s">
        <v>417</v>
      </c>
      <c r="E47" s="4060"/>
      <c r="F47" s="4060"/>
      <c r="G47" s="4060"/>
      <c r="H47" s="4060"/>
      <c r="I47" s="3870"/>
      <c r="J47" s="3889" t="str">
        <f>S45&amp;".1"</f>
        <v>....1</v>
      </c>
      <c r="K47" s="1299"/>
      <c r="L47" s="1305"/>
      <c r="M47" s="1170"/>
      <c r="N47" s="1170"/>
      <c r="O47" s="1170"/>
      <c r="P47" s="4037"/>
      <c r="Q47" s="4037">
        <v>1</v>
      </c>
      <c r="R47" s="291"/>
      <c r="S47" s="969"/>
      <c r="T47" s="1323"/>
      <c r="U47" s="1308"/>
      <c r="V47" s="4065"/>
      <c r="W47" s="4065"/>
      <c r="X47" s="4065"/>
      <c r="Y47" s="4065"/>
      <c r="Z47" s="4065"/>
      <c r="AA47" s="4066"/>
      <c r="AB47" s="1852"/>
      <c r="AC47" s="4065"/>
      <c r="AD47" s="4065"/>
      <c r="AE47" s="4065"/>
      <c r="AF47" s="4065"/>
      <c r="AG47" s="4065"/>
      <c r="AH47" s="4065"/>
      <c r="AI47" s="4065"/>
      <c r="AJ47" s="4066"/>
      <c r="AK47" s="1309"/>
      <c r="AM47" s="1548"/>
      <c r="AN47" s="1548" t="str">
        <f t="shared" si="1"/>
        <v/>
      </c>
      <c r="AO47" s="1548"/>
      <c r="AP47" s="1548"/>
      <c r="AQ47" s="1560">
        <v>0</v>
      </c>
    </row>
    <row r="48" spans="1:43" ht="21.95" customHeight="1">
      <c r="A48" s="1191" t="s">
        <v>414</v>
      </c>
      <c r="B48" s="1191" t="s">
        <v>415</v>
      </c>
      <c r="C48" s="1191" t="s">
        <v>416</v>
      </c>
      <c r="D48" s="1191" t="s">
        <v>417</v>
      </c>
      <c r="E48" s="4060"/>
      <c r="F48" s="4060"/>
      <c r="G48" s="4060"/>
      <c r="H48" s="4060"/>
      <c r="I48" s="3870"/>
      <c r="J48" s="3870"/>
      <c r="K48" s="1833" t="str">
        <f>S45&amp;".1"</f>
        <v>....1</v>
      </c>
      <c r="L48" s="1234"/>
      <c r="P48" s="4037"/>
      <c r="Q48" s="4037"/>
      <c r="R48" s="291">
        <v>1</v>
      </c>
      <c r="S48" s="1854" t="str">
        <f>$K48</f>
        <v>....1</v>
      </c>
      <c r="T48" s="1853"/>
      <c r="U48" s="235"/>
      <c r="V48" s="685"/>
      <c r="W48" s="1181"/>
      <c r="X48" s="1847"/>
      <c r="Y48" s="1834" t="s">
        <v>53</v>
      </c>
      <c r="Z48" s="1847"/>
      <c r="AA48" s="1834" t="s">
        <v>53</v>
      </c>
      <c r="AB48" s="1856"/>
      <c r="AC48" s="1855" t="s">
        <v>15</v>
      </c>
      <c r="AD48" s="685"/>
      <c r="AE48" s="1181"/>
      <c r="AF48" s="1847"/>
      <c r="AG48" s="1834" t="s">
        <v>53</v>
      </c>
      <c r="AH48" s="1847"/>
      <c r="AI48" s="1834" t="s">
        <v>53</v>
      </c>
      <c r="AJ48" s="1272"/>
      <c r="AK48" s="4056" t="s">
        <v>689</v>
      </c>
      <c r="AL48" s="1560" t="e">
        <f ca="1">STRCHECKDATE(#REF!)</f>
        <v>#NAME?</v>
      </c>
      <c r="AM48" s="1548"/>
      <c r="AN48" s="1548" t="str">
        <f t="shared" si="1"/>
        <v/>
      </c>
      <c r="AO48" s="1548"/>
      <c r="AP48" s="1548"/>
      <c r="AQ48" s="1555">
        <v>21</v>
      </c>
    </row>
    <row r="49" spans="1:43" ht="11.45" customHeight="1">
      <c r="A49" s="1191" t="s">
        <v>414</v>
      </c>
      <c r="B49" s="1191" t="s">
        <v>415</v>
      </c>
      <c r="C49" s="1191" t="s">
        <v>416</v>
      </c>
      <c r="D49" s="1191" t="s">
        <v>417</v>
      </c>
      <c r="E49" s="4060"/>
      <c r="F49" s="4060"/>
      <c r="G49" s="4060"/>
      <c r="H49" s="4060"/>
      <c r="I49" s="3870"/>
      <c r="J49" s="3889"/>
      <c r="K49" s="1191"/>
      <c r="L49" s="1234"/>
      <c r="P49" s="4037"/>
      <c r="Q49" s="4037"/>
      <c r="R49" s="290"/>
      <c r="S49" s="1202"/>
      <c r="T49" s="222" t="s">
        <v>677</v>
      </c>
      <c r="U49" s="534"/>
      <c r="V49" s="534"/>
      <c r="W49" s="534"/>
      <c r="X49" s="534"/>
      <c r="Y49" s="534"/>
      <c r="Z49" s="534"/>
      <c r="AA49" s="259"/>
      <c r="AB49" s="534"/>
      <c r="AC49" s="534"/>
      <c r="AD49" s="534"/>
      <c r="AE49" s="534"/>
      <c r="AF49" s="534"/>
      <c r="AG49" s="534"/>
      <c r="AH49" s="534"/>
      <c r="AI49" s="534"/>
      <c r="AJ49" s="259"/>
      <c r="AK49" s="4058"/>
      <c r="AM49" s="1548"/>
      <c r="AN49" s="1548" t="str">
        <f t="shared" si="1"/>
        <v>Добавить строку</v>
      </c>
      <c r="AO49" s="1548"/>
      <c r="AP49" s="1548"/>
      <c r="AQ49" s="1555">
        <v>11</v>
      </c>
    </row>
    <row r="50" spans="1:43" s="1566" customFormat="1" ht="1.1499999999999999" customHeight="1">
      <c r="A50" s="1299" t="s">
        <v>414</v>
      </c>
      <c r="B50" s="1299" t="s">
        <v>415</v>
      </c>
      <c r="C50" s="1299" t="s">
        <v>416</v>
      </c>
      <c r="D50" s="1299" t="s">
        <v>417</v>
      </c>
      <c r="E50" s="4060"/>
      <c r="F50" s="4060"/>
      <c r="G50" s="4060"/>
      <c r="H50" s="4060"/>
      <c r="I50" s="3889"/>
      <c r="J50" s="1299"/>
      <c r="K50" s="1299"/>
      <c r="L50" s="1305"/>
      <c r="M50" s="1170"/>
      <c r="N50" s="1170"/>
      <c r="O50" s="1170"/>
      <c r="P50" s="4037"/>
      <c r="Q50" s="1846"/>
      <c r="R50" s="290"/>
      <c r="S50" s="1310"/>
      <c r="T50" s="1311" t="s">
        <v>620</v>
      </c>
      <c r="U50" s="1312"/>
      <c r="V50" s="1312"/>
      <c r="W50" s="1312"/>
      <c r="X50" s="1312"/>
      <c r="Y50" s="1312"/>
      <c r="Z50" s="1312"/>
      <c r="AA50" s="1312"/>
      <c r="AB50" s="1312"/>
      <c r="AC50" s="1312"/>
      <c r="AD50" s="1312"/>
      <c r="AE50" s="1312"/>
      <c r="AF50" s="1312"/>
      <c r="AG50" s="1312"/>
      <c r="AH50" s="1312"/>
      <c r="AI50" s="1312"/>
      <c r="AJ50" s="1312"/>
      <c r="AK50" s="1313"/>
      <c r="AM50" s="1548"/>
      <c r="AN50" s="1548" t="str">
        <f t="shared" si="1"/>
        <v>Добавить группу потребителей</v>
      </c>
      <c r="AO50" s="1548"/>
      <c r="AP50" s="1548"/>
      <c r="AQ50" s="1560">
        <v>1</v>
      </c>
    </row>
    <row r="51" spans="1:43" s="1565" customFormat="1" ht="1.1499999999999999" customHeight="1">
      <c r="A51" s="1299" t="s">
        <v>414</v>
      </c>
      <c r="B51" s="1299" t="s">
        <v>415</v>
      </c>
      <c r="C51" s="1299" t="s">
        <v>416</v>
      </c>
      <c r="D51" s="1299" t="s">
        <v>417</v>
      </c>
      <c r="E51" s="4060"/>
      <c r="F51" s="4060"/>
      <c r="G51" s="4060"/>
      <c r="H51" s="4059"/>
      <c r="I51" s="1299"/>
      <c r="J51" s="1299"/>
      <c r="K51" s="1299"/>
      <c r="L51" s="1305"/>
      <c r="M51" s="1302"/>
      <c r="N51" s="1302"/>
      <c r="O51" s="285"/>
      <c r="P51" s="314"/>
      <c r="Q51" s="1268"/>
      <c r="R51" s="1324"/>
      <c r="S51" s="1310"/>
      <c r="T51" s="1311"/>
      <c r="U51" s="1312"/>
      <c r="V51" s="1312"/>
      <c r="W51" s="1312"/>
      <c r="X51" s="1312"/>
      <c r="Y51" s="1312"/>
      <c r="Z51" s="1312"/>
      <c r="AA51" s="1312"/>
      <c r="AB51" s="1312"/>
      <c r="AC51" s="1312"/>
      <c r="AD51" s="1312"/>
      <c r="AE51" s="1312"/>
      <c r="AF51" s="1312"/>
      <c r="AG51" s="1312"/>
      <c r="AH51" s="1312"/>
      <c r="AI51" s="1312"/>
      <c r="AJ51" s="1312"/>
      <c r="AK51" s="1313"/>
      <c r="AL51" s="1560"/>
      <c r="AM51" s="1548"/>
      <c r="AN51" s="1548" t="str">
        <f t="shared" si="1"/>
        <v/>
      </c>
      <c r="AO51" s="1548"/>
      <c r="AP51" s="1548"/>
      <c r="AQ51" s="1565">
        <v>1</v>
      </c>
    </row>
    <row r="52" spans="1:43" s="1566" customFormat="1" ht="1.1499999999999999" customHeight="1">
      <c r="A52" s="1299" t="s">
        <v>414</v>
      </c>
      <c r="B52" s="1299" t="s">
        <v>415</v>
      </c>
      <c r="C52" s="1299" t="s">
        <v>416</v>
      </c>
      <c r="D52" s="1298"/>
      <c r="E52" s="4060"/>
      <c r="F52" s="4060"/>
      <c r="G52" s="4059"/>
      <c r="H52" s="1298"/>
      <c r="I52" s="1298"/>
      <c r="J52" s="1298"/>
      <c r="K52" s="1298"/>
      <c r="L52" s="1301"/>
      <c r="M52" s="1302"/>
      <c r="N52" s="1302"/>
      <c r="O52" s="285"/>
      <c r="P52" s="1240"/>
      <c r="Q52" s="1241"/>
      <c r="R52" s="1240"/>
      <c r="S52" s="1246"/>
      <c r="T52" s="1249" t="s">
        <v>235</v>
      </c>
      <c r="U52" s="1248"/>
      <c r="V52" s="1248"/>
      <c r="W52" s="1248"/>
      <c r="X52" s="1248"/>
      <c r="Y52" s="1248"/>
      <c r="Z52" s="1248"/>
      <c r="AA52" s="1248"/>
      <c r="AB52" s="1248"/>
      <c r="AC52" s="1248"/>
      <c r="AD52" s="1248"/>
      <c r="AE52" s="1248"/>
      <c r="AF52" s="1248"/>
      <c r="AG52" s="1248"/>
      <c r="AH52" s="1248"/>
      <c r="AI52" s="1248"/>
      <c r="AJ52" s="1248"/>
      <c r="AK52" s="1248"/>
      <c r="AM52" s="1175"/>
      <c r="AN52" s="1175" t="str">
        <f t="shared" si="1"/>
        <v>Добавить источник для дифференциации</v>
      </c>
      <c r="AO52" s="1175"/>
      <c r="AP52" s="1175"/>
      <c r="AQ52" s="1566">
        <v>1</v>
      </c>
    </row>
    <row r="53" spans="1:43" s="1566" customFormat="1" ht="1.1499999999999999" customHeight="1">
      <c r="A53" s="1299" t="s">
        <v>414</v>
      </c>
      <c r="B53" s="1299" t="s">
        <v>415</v>
      </c>
      <c r="C53" s="1298"/>
      <c r="D53" s="1298"/>
      <c r="E53" s="4060"/>
      <c r="F53" s="4059"/>
      <c r="G53" s="1298"/>
      <c r="H53" s="1298"/>
      <c r="I53" s="1298"/>
      <c r="J53" s="1298"/>
      <c r="K53" s="1298"/>
      <c r="L53" s="1301"/>
      <c r="M53" s="1303"/>
      <c r="N53" s="1303"/>
      <c r="O53" s="285"/>
      <c r="P53" s="1240"/>
      <c r="Q53" s="1241"/>
      <c r="R53" s="1240"/>
      <c r="S53" s="1246"/>
      <c r="T53" s="1249" t="s">
        <v>236</v>
      </c>
      <c r="U53" s="1248"/>
      <c r="V53" s="1248"/>
      <c r="W53" s="1248"/>
      <c r="X53" s="1248"/>
      <c r="Y53" s="1248"/>
      <c r="Z53" s="1248"/>
      <c r="AA53" s="1248"/>
      <c r="AB53" s="1248"/>
      <c r="AC53" s="1248"/>
      <c r="AD53" s="1248"/>
      <c r="AE53" s="1248"/>
      <c r="AF53" s="1248"/>
      <c r="AG53" s="1248"/>
      <c r="AH53" s="1248"/>
      <c r="AI53" s="1248"/>
      <c r="AJ53" s="1248"/>
      <c r="AK53" s="1248"/>
      <c r="AM53" s="1175"/>
      <c r="AN53" s="1175" t="str">
        <f t="shared" si="1"/>
        <v>Добавить централизованную систему для дифференциации</v>
      </c>
      <c r="AO53" s="1175"/>
      <c r="AP53" s="1175"/>
      <c r="AQ53" s="1566">
        <v>1</v>
      </c>
    </row>
    <row r="54" spans="1:43" s="1566" customFormat="1" ht="1.1499999999999999" customHeight="1">
      <c r="A54" s="1299" t="s">
        <v>414</v>
      </c>
      <c r="B54" s="1299"/>
      <c r="C54" s="1299"/>
      <c r="D54" s="1299"/>
      <c r="E54" s="4060"/>
      <c r="F54" s="1299"/>
      <c r="G54" s="1299"/>
      <c r="H54" s="1299"/>
      <c r="I54" s="1299"/>
      <c r="J54" s="1299"/>
      <c r="K54" s="1299"/>
      <c r="L54" s="1305"/>
      <c r="M54" s="1303"/>
      <c r="N54" s="1303"/>
      <c r="O54" s="285"/>
      <c r="P54" s="314"/>
      <c r="Q54" s="1268"/>
      <c r="R54" s="314"/>
      <c r="S54" s="1246"/>
      <c r="T54" s="1249" t="s">
        <v>286</v>
      </c>
      <c r="U54" s="1248"/>
      <c r="V54" s="1248"/>
      <c r="W54" s="1248"/>
      <c r="X54" s="1248"/>
      <c r="Y54" s="1248"/>
      <c r="Z54" s="1248"/>
      <c r="AA54" s="1248"/>
      <c r="AB54" s="1248"/>
      <c r="AC54" s="1248"/>
      <c r="AD54" s="1248"/>
      <c r="AE54" s="1248"/>
      <c r="AF54" s="1248"/>
      <c r="AG54" s="1248"/>
      <c r="AH54" s="1248"/>
      <c r="AI54" s="1248"/>
      <c r="AJ54" s="1248"/>
      <c r="AK54" s="1248"/>
      <c r="AM54" s="1548"/>
      <c r="AN54" s="1548" t="str">
        <f t="shared" si="1"/>
        <v>Добавить территорию для дифференциации</v>
      </c>
      <c r="AO54" s="1548"/>
      <c r="AP54" s="1548"/>
      <c r="AQ54" s="1560">
        <v>1</v>
      </c>
    </row>
    <row r="55" spans="1:43" s="1566" customFormat="1" ht="1.1499999999999999" customHeight="1">
      <c r="A55" s="1299" t="s">
        <v>414</v>
      </c>
      <c r="B55" s="1299"/>
      <c r="C55" s="1299"/>
      <c r="D55" s="1299"/>
      <c r="E55" s="4059"/>
      <c r="F55" s="1299"/>
      <c r="G55" s="1299"/>
      <c r="H55" s="1299"/>
      <c r="I55" s="1299"/>
      <c r="J55" s="1299"/>
      <c r="K55" s="1299"/>
      <c r="L55" s="1305"/>
      <c r="M55" s="1303"/>
      <c r="N55" s="1303"/>
      <c r="O55" s="285"/>
      <c r="P55" s="314"/>
      <c r="Q55" s="1268"/>
      <c r="R55" s="314"/>
      <c r="S55" s="1246"/>
      <c r="T55" s="1249" t="s">
        <v>286</v>
      </c>
      <c r="U55" s="1248"/>
      <c r="V55" s="1248"/>
      <c r="W55" s="1248"/>
      <c r="X55" s="1248"/>
      <c r="Y55" s="1248"/>
      <c r="Z55" s="1248"/>
      <c r="AA55" s="1248"/>
      <c r="AB55" s="1248"/>
      <c r="AC55" s="1248"/>
      <c r="AD55" s="1248"/>
      <c r="AE55" s="1248"/>
      <c r="AF55" s="1248"/>
      <c r="AG55" s="1248"/>
      <c r="AH55" s="1248"/>
      <c r="AI55" s="1248"/>
      <c r="AJ55" s="1248"/>
      <c r="AK55" s="1248"/>
      <c r="AM55" s="1548"/>
      <c r="AN55" s="1548" t="str">
        <f t="shared" si="1"/>
        <v>Добавить территорию для дифференциации</v>
      </c>
      <c r="AO55" s="1548"/>
      <c r="AP55" s="1548"/>
      <c r="AQ55" s="1560">
        <v>1</v>
      </c>
    </row>
    <row r="56" spans="1:43" s="1566" customFormat="1" ht="1.1499999999999999" customHeight="1">
      <c r="A56" s="1298"/>
      <c r="B56" s="1298"/>
      <c r="C56" s="1298"/>
      <c r="D56" s="1298"/>
      <c r="E56" s="1299"/>
      <c r="F56" s="1298"/>
      <c r="G56" s="1298"/>
      <c r="H56" s="1298"/>
      <c r="I56" s="1298"/>
      <c r="J56" s="1298"/>
      <c r="K56" s="1298"/>
      <c r="L56" s="1301"/>
      <c r="M56" s="1303"/>
      <c r="N56" s="1303"/>
      <c r="O56" s="285"/>
      <c r="P56" s="1240"/>
      <c r="Q56" s="1241"/>
      <c r="R56" s="1240"/>
      <c r="S56" s="1246"/>
      <c r="T56" s="1249" t="s">
        <v>287</v>
      </c>
      <c r="U56" s="1248"/>
      <c r="V56" s="1248"/>
      <c r="W56" s="1248"/>
      <c r="X56" s="1248"/>
      <c r="Y56" s="1248"/>
      <c r="Z56" s="1248"/>
      <c r="AA56" s="1248"/>
      <c r="AB56" s="1248"/>
      <c r="AC56" s="1248"/>
      <c r="AD56" s="1248"/>
      <c r="AE56" s="1248"/>
      <c r="AF56" s="1248"/>
      <c r="AG56" s="1248"/>
      <c r="AH56" s="1248"/>
      <c r="AI56" s="1248"/>
      <c r="AJ56" s="1248"/>
      <c r="AK56" s="1248"/>
      <c r="AM56" s="1175"/>
      <c r="AN56" s="1175" t="str">
        <f t="shared" si="1"/>
        <v>Добавить наименование тарифа</v>
      </c>
      <c r="AO56" s="1175"/>
      <c r="AP56" s="1175"/>
      <c r="AQ56" s="1566">
        <v>1</v>
      </c>
    </row>
    <row r="57" spans="1:43" ht="11.45" customHeight="1">
      <c r="M57" s="1555"/>
      <c r="N57" s="1555"/>
      <c r="O57" s="1559"/>
      <c r="P57" s="1290"/>
      <c r="Q57" s="1290"/>
      <c r="R57" s="1555"/>
      <c r="S57" s="1555"/>
      <c r="AL57" s="1555"/>
      <c r="AM57" s="1555"/>
      <c r="AN57" s="1555"/>
      <c r="AO57" s="1555"/>
      <c r="AP57" s="1555"/>
      <c r="AQ57" s="1555">
        <v>11</v>
      </c>
    </row>
    <row r="58" spans="1:43" ht="19.899999999999999" customHeight="1">
      <c r="O58" s="1559"/>
      <c r="S58" s="1177"/>
      <c r="T58" s="4032"/>
      <c r="U58" s="4032"/>
      <c r="V58" s="4032"/>
      <c r="W58" s="4032"/>
      <c r="X58" s="4032"/>
      <c r="Y58" s="4032"/>
      <c r="Z58" s="4032"/>
      <c r="AA58" s="4032"/>
      <c r="AB58" s="4032"/>
      <c r="AC58" s="4032"/>
      <c r="AD58" s="4032"/>
      <c r="AE58" s="4032"/>
      <c r="AF58" s="4032"/>
      <c r="AG58" s="4032"/>
      <c r="AH58" s="4032"/>
      <c r="AI58" s="4032"/>
      <c r="AJ58" s="4032"/>
      <c r="AK58" s="4032"/>
      <c r="AQ58" s="1555">
        <v>19</v>
      </c>
    </row>
    <row r="59" spans="1:43" ht="21" customHeight="1">
      <c r="O59" s="1559"/>
      <c r="T59" s="4032"/>
      <c r="U59" s="4032"/>
      <c r="V59" s="4032"/>
      <c r="W59" s="4032"/>
      <c r="X59" s="4032"/>
      <c r="Y59" s="4032"/>
      <c r="Z59" s="4032"/>
      <c r="AA59" s="4032"/>
      <c r="AB59" s="4032"/>
      <c r="AC59" s="4032"/>
      <c r="AD59" s="4032"/>
      <c r="AE59" s="4032"/>
      <c r="AF59" s="4032"/>
      <c r="AG59" s="4032"/>
      <c r="AH59" s="4032"/>
      <c r="AI59" s="4032"/>
      <c r="AJ59" s="4032"/>
      <c r="AK59" s="4032"/>
      <c r="AQ59" s="1555">
        <v>20</v>
      </c>
    </row>
    <row r="60" spans="1:43" ht="14.65" customHeight="1">
      <c r="O60" s="1559"/>
      <c r="T60" s="1845"/>
      <c r="U60" s="1845"/>
      <c r="V60" s="1845"/>
      <c r="W60" s="1845"/>
      <c r="X60" s="1845"/>
      <c r="Y60" s="1845"/>
      <c r="Z60" s="1845"/>
      <c r="AA60" s="1845"/>
      <c r="AB60" s="1845"/>
      <c r="AC60" s="1845"/>
      <c r="AD60" s="1845"/>
      <c r="AE60" s="1845"/>
      <c r="AF60" s="1845"/>
      <c r="AG60" s="1845"/>
      <c r="AH60" s="1845"/>
      <c r="AI60" s="1845"/>
      <c r="AJ60" s="1845"/>
      <c r="AK60" s="1845"/>
      <c r="AQ60" s="1555">
        <v>14</v>
      </c>
    </row>
    <row r="61" spans="1:43" ht="19.899999999999999" customHeight="1">
      <c r="O61" s="1559"/>
      <c r="T61" s="4032"/>
      <c r="U61" s="4032"/>
      <c r="V61" s="4032"/>
      <c r="W61" s="4032"/>
      <c r="X61" s="4032"/>
      <c r="Y61" s="4032"/>
      <c r="Z61" s="4032"/>
      <c r="AA61" s="4032"/>
      <c r="AB61" s="4032"/>
      <c r="AC61" s="4032"/>
      <c r="AD61" s="4032"/>
      <c r="AE61" s="4032"/>
      <c r="AF61" s="4032"/>
      <c r="AG61" s="4032"/>
      <c r="AH61" s="4032"/>
      <c r="AI61" s="4032"/>
      <c r="AJ61" s="4032"/>
      <c r="AK61" s="4032"/>
      <c r="AQ61" s="1555">
        <v>19</v>
      </c>
    </row>
    <row r="62" spans="1:43" ht="16.899999999999999" customHeight="1">
      <c r="O62" s="1559"/>
      <c r="T62" s="4032"/>
      <c r="U62" s="4032"/>
      <c r="V62" s="4032"/>
      <c r="W62" s="4032"/>
      <c r="X62" s="4032"/>
      <c r="Y62" s="4032"/>
      <c r="Z62" s="4032"/>
      <c r="AA62" s="4032"/>
      <c r="AB62" s="4032"/>
      <c r="AC62" s="4032"/>
      <c r="AD62" s="4032"/>
      <c r="AE62" s="4032"/>
      <c r="AF62" s="4032"/>
      <c r="AG62" s="4032"/>
      <c r="AH62" s="4032"/>
      <c r="AI62" s="4032"/>
      <c r="AJ62" s="4032"/>
      <c r="AK62" s="4032"/>
      <c r="AQ62" s="1555">
        <v>16</v>
      </c>
    </row>
    <row r="63" spans="1:43" ht="14.65" customHeight="1">
      <c r="O63" s="1559"/>
      <c r="AQ63" s="1555">
        <v>14</v>
      </c>
    </row>
    <row r="64" spans="1:43" ht="22.5" hidden="1" customHeight="1">
      <c r="A64" s="1555" t="s">
        <v>69</v>
      </c>
      <c r="B64" s="1555">
        <v>0</v>
      </c>
      <c r="C64" s="1555">
        <v>0</v>
      </c>
      <c r="D64" s="1555">
        <v>0</v>
      </c>
      <c r="E64" s="1555">
        <v>0</v>
      </c>
      <c r="F64" s="1555">
        <v>0</v>
      </c>
      <c r="G64" s="1555">
        <v>0</v>
      </c>
      <c r="H64" s="1555">
        <v>0</v>
      </c>
      <c r="I64" s="1555">
        <v>0</v>
      </c>
      <c r="J64" s="1555">
        <v>0</v>
      </c>
      <c r="K64" s="1555">
        <v>0</v>
      </c>
      <c r="L64" s="1831">
        <v>0</v>
      </c>
      <c r="M64" s="1857">
        <v>0</v>
      </c>
      <c r="N64" s="1857">
        <v>0</v>
      </c>
      <c r="O64" s="1857">
        <v>0</v>
      </c>
      <c r="P64" s="1286">
        <v>3</v>
      </c>
      <c r="Q64" s="1295">
        <v>3</v>
      </c>
      <c r="R64" s="279">
        <v>3</v>
      </c>
      <c r="S64" s="515">
        <v>12</v>
      </c>
      <c r="T64" s="1555">
        <v>31</v>
      </c>
      <c r="U64" s="1555">
        <v>0</v>
      </c>
      <c r="V64" s="1555">
        <v>0</v>
      </c>
      <c r="W64" s="1555">
        <v>0</v>
      </c>
      <c r="X64" s="1555">
        <v>0</v>
      </c>
      <c r="Y64" s="1555">
        <v>0</v>
      </c>
      <c r="Z64" s="1555">
        <v>0</v>
      </c>
      <c r="AA64" s="1555">
        <v>0</v>
      </c>
      <c r="AB64" s="1555">
        <v>27</v>
      </c>
      <c r="AC64" s="1555">
        <v>24</v>
      </c>
      <c r="AD64" s="1555">
        <v>21</v>
      </c>
      <c r="AE64" s="1555">
        <v>21</v>
      </c>
      <c r="AF64" s="1555">
        <v>11</v>
      </c>
      <c r="AG64" s="1555">
        <v>3</v>
      </c>
      <c r="AH64" s="1555">
        <v>11</v>
      </c>
      <c r="AI64" s="1555">
        <v>8</v>
      </c>
      <c r="AJ64" s="1555">
        <v>4</v>
      </c>
      <c r="AK64" s="1555">
        <v>115</v>
      </c>
      <c r="AL64" s="1560">
        <v>10</v>
      </c>
      <c r="AM64" s="1560">
        <v>10</v>
      </c>
      <c r="AN64" s="1560">
        <v>10</v>
      </c>
      <c r="AO64" s="1560">
        <v>10</v>
      </c>
      <c r="AP64" s="1560">
        <v>10</v>
      </c>
      <c r="AQ64" s="1555">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7109375" style="1672" hidden="1" customWidth="1"/>
    <col min="17" max="17" width="3.7109375" style="1295" hidden="1" customWidth="1"/>
    <col min="18" max="18" width="3" style="279" customWidth="1"/>
    <col min="19" max="19" width="12" style="1976"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2"/>
      <c r="Y1" s="262"/>
      <c r="Z1" s="262"/>
      <c r="AW1" s="262"/>
      <c r="AX1" s="262"/>
      <c r="BI1" s="1079" t="s">
        <v>1</v>
      </c>
    </row>
    <row r="2" spans="1:61" ht="21" hidden="1" customHeight="1">
      <c r="A2" s="1287"/>
      <c r="B2" s="1287"/>
      <c r="C2" s="1287"/>
      <c r="D2" s="1287"/>
      <c r="E2" s="4033">
        <v>1</v>
      </c>
      <c r="F2" s="1287"/>
      <c r="G2" s="1287"/>
      <c r="H2" s="1287"/>
      <c r="I2" s="1287"/>
      <c r="J2" s="1287"/>
      <c r="K2" s="1287"/>
      <c r="L2" s="1288"/>
      <c r="M2" s="1289"/>
      <c r="N2" s="1289"/>
      <c r="O2" s="1289"/>
      <c r="P2" s="1333"/>
      <c r="Q2" s="801"/>
      <c r="R2" s="289"/>
      <c r="S2" s="1389" t="e">
        <f>INDEX(PT_DIFFERENTIATION_NUM_NTAR,MATCH(A2,PT_DIFFERENTIATION_NTAR_ID,0))</f>
        <v>#N/A</v>
      </c>
      <c r="T2" s="233" t="s">
        <v>195</v>
      </c>
      <c r="U2" s="235"/>
      <c r="V2" s="4028"/>
      <c r="W2" s="4028"/>
      <c r="X2" s="4028"/>
      <c r="Y2" s="4028"/>
      <c r="Z2" s="4028"/>
      <c r="AA2" s="4028"/>
      <c r="AB2" s="4028"/>
      <c r="AC2" s="4029"/>
      <c r="AD2" s="4027" t="e">
        <f>INDEX(PT_DIFFERENTIATION_NTAR,MATCH(A2,PT_DIFFERENTIATION_NTAR_ID,0))</f>
        <v>#N/A</v>
      </c>
      <c r="AE2" s="4028"/>
      <c r="AF2" s="4028"/>
      <c r="AG2" s="4028"/>
      <c r="AH2" s="4028"/>
      <c r="AI2" s="4028"/>
      <c r="AJ2" s="4028"/>
      <c r="AK2" s="4028"/>
      <c r="AL2" s="4028"/>
      <c r="AM2" s="4028"/>
      <c r="AN2" s="4028"/>
      <c r="AO2" s="4028"/>
      <c r="AP2" s="4028"/>
      <c r="AQ2" s="4028"/>
      <c r="AR2" s="4028"/>
      <c r="AS2" s="4028"/>
      <c r="AT2" s="4028"/>
      <c r="AU2" s="4028"/>
      <c r="AV2" s="4028"/>
      <c r="AW2" s="4028"/>
      <c r="AX2" s="4028"/>
      <c r="AY2" s="4028"/>
      <c r="AZ2" s="4028"/>
      <c r="BA2" s="4028"/>
      <c r="BB2" s="4029"/>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9">
        <v>0</v>
      </c>
    </row>
    <row r="3" spans="1:61" ht="21" hidden="1" customHeight="1">
      <c r="A3" s="1287"/>
      <c r="B3" s="1287"/>
      <c r="C3" s="1287"/>
      <c r="D3" s="1287"/>
      <c r="E3" s="4034"/>
      <c r="F3" s="4033">
        <v>1</v>
      </c>
      <c r="G3" s="1287"/>
      <c r="H3" s="1287"/>
      <c r="I3" s="1287"/>
      <c r="J3" s="1287"/>
      <c r="K3" s="1287"/>
      <c r="L3" s="1288"/>
      <c r="M3" s="1289"/>
      <c r="N3" s="1289"/>
      <c r="O3" s="1289"/>
      <c r="P3" s="1334"/>
      <c r="Q3" s="1335"/>
      <c r="R3" s="287"/>
      <c r="S3" s="1389" t="e">
        <f>INDEX(PT_DIFFERENTIATION_NUM_TER,MATCH(B3,PT_DIFFERENTIATION_TER_ID,0))</f>
        <v>#N/A</v>
      </c>
      <c r="T3" s="243" t="s">
        <v>605</v>
      </c>
      <c r="U3" s="235"/>
      <c r="V3" s="4028"/>
      <c r="W3" s="4028"/>
      <c r="X3" s="4028"/>
      <c r="Y3" s="4028"/>
      <c r="Z3" s="4028"/>
      <c r="AA3" s="4028"/>
      <c r="AB3" s="4028"/>
      <c r="AC3" s="4029"/>
      <c r="AD3" s="4027" t="e">
        <f>INDEX(PT_DIFFERENTIATION_TER,MATCH(B3,PT_DIFFERENTIATION_TER_ID,0))</f>
        <v>#N/A</v>
      </c>
      <c r="AE3" s="4028"/>
      <c r="AF3" s="4028"/>
      <c r="AG3" s="4028"/>
      <c r="AH3" s="4028"/>
      <c r="AI3" s="4028"/>
      <c r="AJ3" s="4028"/>
      <c r="AK3" s="4028"/>
      <c r="AL3" s="4028"/>
      <c r="AM3" s="4028"/>
      <c r="AN3" s="4028"/>
      <c r="AO3" s="4028"/>
      <c r="AP3" s="4028"/>
      <c r="AQ3" s="4028"/>
      <c r="AR3" s="4028"/>
      <c r="AS3" s="4028"/>
      <c r="AT3" s="4028"/>
      <c r="AU3" s="4028"/>
      <c r="AV3" s="4028"/>
      <c r="AW3" s="4028"/>
      <c r="AX3" s="4028"/>
      <c r="AY3" s="4028"/>
      <c r="AZ3" s="4028"/>
      <c r="BA3" s="4028"/>
      <c r="BB3" s="4029"/>
      <c r="BC3" s="1182" t="s">
        <v>606</v>
      </c>
      <c r="BE3" s="434"/>
      <c r="BF3" s="434" t="str">
        <f t="shared" si="0"/>
        <v>Территория действия тарифа</v>
      </c>
      <c r="BG3" s="434"/>
      <c r="BH3" s="434"/>
      <c r="BI3" s="1079">
        <v>0</v>
      </c>
    </row>
    <row r="4" spans="1:61" ht="42" hidden="1" customHeight="1">
      <c r="A4" s="1287"/>
      <c r="B4" s="1287"/>
      <c r="C4" s="1287"/>
      <c r="D4" s="1287"/>
      <c r="E4" s="4034"/>
      <c r="F4" s="4034"/>
      <c r="G4" s="4033">
        <v>1</v>
      </c>
      <c r="H4" s="1287"/>
      <c r="I4" s="1287"/>
      <c r="J4" s="1287"/>
      <c r="K4" s="1287"/>
      <c r="L4" s="1288"/>
      <c r="M4" s="1289"/>
      <c r="N4" s="1289"/>
      <c r="O4" s="1289"/>
      <c r="P4" s="1336"/>
      <c r="Q4" s="1335"/>
      <c r="R4" s="287"/>
      <c r="S4" s="1389" t="e">
        <f>INDEX(PT_DIFFERENTIATION_NUM_CS,MATCH(C4,PT_DIFFERENTIATION_CS_ID,0))</f>
        <v>#N/A</v>
      </c>
      <c r="T4" s="244" t="s">
        <v>690</v>
      </c>
      <c r="U4" s="235"/>
      <c r="V4" s="4028"/>
      <c r="W4" s="4028"/>
      <c r="X4" s="4028"/>
      <c r="Y4" s="4028"/>
      <c r="Z4" s="4028"/>
      <c r="AA4" s="4028"/>
      <c r="AB4" s="4028"/>
      <c r="AC4" s="4029"/>
      <c r="AD4" s="4027" t="e">
        <f>INDEX(PT_DIFFERENTIATION_CS,MATCH(C4,PT_DIFFERENTIATION_CS_ID,0))</f>
        <v>#N/A</v>
      </c>
      <c r="AE4" s="4028"/>
      <c r="AF4" s="4028"/>
      <c r="AG4" s="4028"/>
      <c r="AH4" s="4028"/>
      <c r="AI4" s="4028"/>
      <c r="AJ4" s="4028"/>
      <c r="AK4" s="4028"/>
      <c r="AL4" s="4028"/>
      <c r="AM4" s="4028"/>
      <c r="AN4" s="4028"/>
      <c r="AO4" s="4028"/>
      <c r="AP4" s="4028"/>
      <c r="AQ4" s="4028"/>
      <c r="AR4" s="4028"/>
      <c r="AS4" s="4028"/>
      <c r="AT4" s="4028"/>
      <c r="AU4" s="4028"/>
      <c r="AV4" s="4028"/>
      <c r="AW4" s="4028"/>
      <c r="AX4" s="4028"/>
      <c r="AY4" s="4028"/>
      <c r="AZ4" s="4028"/>
      <c r="BA4" s="4028"/>
      <c r="BB4" s="4029"/>
      <c r="BC4" s="1182" t="s">
        <v>691</v>
      </c>
      <c r="BE4" s="434"/>
      <c r="BF4" s="434" t="str">
        <f t="shared" si="0"/>
        <v>Наименование централизованной системы холодного водоснабжения</v>
      </c>
      <c r="BG4" s="434"/>
      <c r="BH4" s="434"/>
      <c r="BI4" s="1079">
        <v>0</v>
      </c>
    </row>
    <row r="5" spans="1:61" s="1566" customFormat="1" ht="14.25" hidden="1" customHeight="1">
      <c r="A5" s="1267"/>
      <c r="B5" s="1267"/>
      <c r="C5" s="1267"/>
      <c r="D5" s="1267"/>
      <c r="E5" s="4034"/>
      <c r="F5" s="4034"/>
      <c r="G5" s="4034"/>
      <c r="H5" s="4033">
        <v>1</v>
      </c>
      <c r="I5" s="1267"/>
      <c r="J5" s="1267"/>
      <c r="K5" s="1267"/>
      <c r="L5" s="1270"/>
      <c r="M5" s="1239"/>
      <c r="N5" s="1239"/>
      <c r="O5" s="1239"/>
      <c r="P5" s="1421"/>
      <c r="Q5" s="1422"/>
      <c r="R5" s="291"/>
      <c r="S5" s="969"/>
      <c r="T5" s="1423"/>
      <c r="U5" s="1308"/>
      <c r="V5" s="4065"/>
      <c r="W5" s="4065"/>
      <c r="X5" s="4065"/>
      <c r="Y5" s="4065"/>
      <c r="Z5" s="4065"/>
      <c r="AA5" s="4065"/>
      <c r="AB5" s="4065"/>
      <c r="AC5" s="4066"/>
      <c r="AD5" s="4064"/>
      <c r="AE5" s="4065"/>
      <c r="AF5" s="4065"/>
      <c r="AG5" s="4065"/>
      <c r="AH5" s="4065"/>
      <c r="AI5" s="4065"/>
      <c r="AJ5" s="4065"/>
      <c r="AK5" s="4065"/>
      <c r="AL5" s="4065"/>
      <c r="AM5" s="4065"/>
      <c r="AN5" s="4065"/>
      <c r="AO5" s="4065"/>
      <c r="AP5" s="4065"/>
      <c r="AQ5" s="4065"/>
      <c r="AR5" s="4065"/>
      <c r="AS5" s="4065"/>
      <c r="AT5" s="4065"/>
      <c r="AU5" s="4065"/>
      <c r="AV5" s="4065"/>
      <c r="AW5" s="4065"/>
      <c r="AX5" s="4065"/>
      <c r="AY5" s="4065"/>
      <c r="AZ5" s="4065"/>
      <c r="BA5" s="4065"/>
      <c r="BB5" s="4066"/>
      <c r="BC5" s="1309" t="s">
        <v>610</v>
      </c>
      <c r="BE5" s="434"/>
      <c r="BF5" s="434" t="str">
        <f t="shared" si="0"/>
        <v/>
      </c>
      <c r="BG5" s="434"/>
      <c r="BH5" s="434"/>
      <c r="BI5" s="445">
        <v>0</v>
      </c>
    </row>
    <row r="6" spans="1:61" s="1566" customFormat="1" ht="14.25" hidden="1" customHeight="1">
      <c r="A6" s="1267"/>
      <c r="B6" s="1267"/>
      <c r="C6" s="1267"/>
      <c r="D6" s="1267"/>
      <c r="E6" s="4034"/>
      <c r="F6" s="4034"/>
      <c r="G6" s="4034"/>
      <c r="H6" s="4034"/>
      <c r="I6" s="4035" t="str">
        <f>S5&amp;".1"</f>
        <v>.1</v>
      </c>
      <c r="J6" s="1267"/>
      <c r="K6" s="1267"/>
      <c r="L6" s="1270" t="s">
        <v>611</v>
      </c>
      <c r="M6" s="444"/>
      <c r="N6" s="444"/>
      <c r="O6" s="444"/>
      <c r="P6" s="4037">
        <v>1</v>
      </c>
      <c r="Q6" s="1386"/>
      <c r="R6" s="290"/>
      <c r="S6" s="969"/>
      <c r="T6" s="1307"/>
      <c r="U6" s="1308"/>
      <c r="V6" s="4065"/>
      <c r="W6" s="4065"/>
      <c r="X6" s="4065"/>
      <c r="Y6" s="4065"/>
      <c r="Z6" s="4065"/>
      <c r="AA6" s="4065"/>
      <c r="AB6" s="4065"/>
      <c r="AC6" s="4066"/>
      <c r="AD6" s="4064"/>
      <c r="AE6" s="4065"/>
      <c r="AF6" s="4065"/>
      <c r="AG6" s="4065"/>
      <c r="AH6" s="4065"/>
      <c r="AI6" s="4065"/>
      <c r="AJ6" s="4065"/>
      <c r="AK6" s="4065"/>
      <c r="AL6" s="4065"/>
      <c r="AM6" s="4065"/>
      <c r="AN6" s="4065"/>
      <c r="AO6" s="4065"/>
      <c r="AP6" s="4065"/>
      <c r="AQ6" s="4065"/>
      <c r="AR6" s="4065"/>
      <c r="AS6" s="4065"/>
      <c r="AT6" s="4065"/>
      <c r="AU6" s="4065"/>
      <c r="AV6" s="4065"/>
      <c r="AW6" s="4065"/>
      <c r="AX6" s="4065"/>
      <c r="AY6" s="4065"/>
      <c r="AZ6" s="4065"/>
      <c r="BA6" s="4065"/>
      <c r="BB6" s="4066"/>
      <c r="BC6" s="1309"/>
      <c r="BE6" s="434"/>
      <c r="BF6" s="434" t="str">
        <f t="shared" si="0"/>
        <v/>
      </c>
      <c r="BG6" s="434"/>
      <c r="BH6" s="434"/>
      <c r="BI6" s="445">
        <v>0</v>
      </c>
    </row>
    <row r="7" spans="1:61" s="1566" customFormat="1" ht="14.25" hidden="1" customHeight="1">
      <c r="A7" s="1267"/>
      <c r="B7" s="1267"/>
      <c r="C7" s="1267"/>
      <c r="D7" s="1267"/>
      <c r="E7" s="4034"/>
      <c r="F7" s="4034"/>
      <c r="G7" s="4034"/>
      <c r="H7" s="4034"/>
      <c r="I7" s="4036"/>
      <c r="J7" s="4035" t="str">
        <f>S5&amp;".1"</f>
        <v>.1</v>
      </c>
      <c r="K7" s="1267"/>
      <c r="L7" s="1270"/>
      <c r="M7" s="444"/>
      <c r="N7" s="444"/>
      <c r="O7" s="444"/>
      <c r="P7" s="4037"/>
      <c r="Q7" s="4037">
        <v>1</v>
      </c>
      <c r="R7" s="291"/>
      <c r="S7" s="969"/>
      <c r="T7" s="1323"/>
      <c r="U7" s="1308"/>
      <c r="V7" s="4065"/>
      <c r="W7" s="4065"/>
      <c r="X7" s="4065"/>
      <c r="Y7" s="4065"/>
      <c r="Z7" s="4065"/>
      <c r="AA7" s="4065"/>
      <c r="AB7" s="4065"/>
      <c r="AC7" s="4066"/>
      <c r="AD7" s="4064"/>
      <c r="AE7" s="4065"/>
      <c r="AF7" s="4065"/>
      <c r="AG7" s="4065"/>
      <c r="AH7" s="4065"/>
      <c r="AI7" s="4065"/>
      <c r="AJ7" s="4065"/>
      <c r="AK7" s="4065"/>
      <c r="AL7" s="4065"/>
      <c r="AM7" s="4065"/>
      <c r="AN7" s="4065"/>
      <c r="AO7" s="4065"/>
      <c r="AP7" s="4065"/>
      <c r="AQ7" s="4065"/>
      <c r="AR7" s="4065"/>
      <c r="AS7" s="4065"/>
      <c r="AT7" s="4065"/>
      <c r="AU7" s="4065"/>
      <c r="AV7" s="4065"/>
      <c r="AW7" s="4065"/>
      <c r="AX7" s="4065"/>
      <c r="AY7" s="4065"/>
      <c r="AZ7" s="4065"/>
      <c r="BA7" s="4065"/>
      <c r="BB7" s="4066"/>
      <c r="BC7" s="1309"/>
      <c r="BE7" s="434"/>
      <c r="BF7" s="434" t="str">
        <f t="shared" si="0"/>
        <v/>
      </c>
      <c r="BG7" s="434"/>
      <c r="BH7" s="434"/>
      <c r="BI7" s="445">
        <v>0</v>
      </c>
    </row>
    <row r="8" spans="1:61" ht="11.25" hidden="1" customHeight="1">
      <c r="A8" s="1287"/>
      <c r="B8" s="1287"/>
      <c r="C8" s="1287"/>
      <c r="D8" s="1287"/>
      <c r="E8" s="4034"/>
      <c r="F8" s="4034"/>
      <c r="G8" s="4034"/>
      <c r="H8" s="4034"/>
      <c r="I8" s="4036"/>
      <c r="J8" s="4036"/>
      <c r="K8" s="4035" t="e">
        <f>S4&amp;".1"</f>
        <v>#N/A</v>
      </c>
      <c r="L8" s="1288"/>
      <c r="P8" s="4037"/>
      <c r="Q8" s="4037"/>
      <c r="R8" s="4093">
        <v>1</v>
      </c>
      <c r="S8" s="4090" t="e">
        <f>$K8</f>
        <v>#N/A</v>
      </c>
      <c r="T8" s="4110"/>
      <c r="U8" s="235"/>
      <c r="V8" s="685"/>
      <c r="W8" s="1181"/>
      <c r="X8" s="685"/>
      <c r="Y8" s="1181"/>
      <c r="Z8" s="1630"/>
      <c r="AA8" s="1383" t="s">
        <v>53</v>
      </c>
      <c r="AB8" s="1630"/>
      <c r="AC8" s="1383" t="s">
        <v>53</v>
      </c>
      <c r="AD8" s="3952" t="s">
        <v>53</v>
      </c>
      <c r="AE8" s="4086"/>
      <c r="AF8" s="3991">
        <v>1</v>
      </c>
      <c r="AG8" s="4109"/>
      <c r="AH8" s="3899" t="s">
        <v>53</v>
      </c>
      <c r="AI8" s="4086"/>
      <c r="AJ8" s="3991">
        <v>1</v>
      </c>
      <c r="AK8" s="4100" t="s">
        <v>15</v>
      </c>
      <c r="AL8" s="3899" t="s">
        <v>53</v>
      </c>
      <c r="AM8" s="3968"/>
      <c r="AN8" s="3991">
        <v>1</v>
      </c>
      <c r="AO8" s="4113"/>
      <c r="AP8" s="4114" t="s">
        <v>53</v>
      </c>
      <c r="AQ8" s="246"/>
      <c r="AR8" s="1387">
        <v>1</v>
      </c>
      <c r="AS8" s="1390" t="s">
        <v>15</v>
      </c>
      <c r="AT8" s="685"/>
      <c r="AU8" s="1181"/>
      <c r="AV8" s="685"/>
      <c r="AW8" s="1181"/>
      <c r="AX8" s="1630"/>
      <c r="AY8" s="1383" t="s">
        <v>53</v>
      </c>
      <c r="AZ8" s="1630"/>
      <c r="BA8" s="1383" t="s">
        <v>53</v>
      </c>
      <c r="BB8" s="1272"/>
      <c r="BC8" s="4056" t="s">
        <v>710</v>
      </c>
      <c r="BE8" s="434"/>
      <c r="BF8" s="434" t="str">
        <f t="shared" si="0"/>
        <v/>
      </c>
      <c r="BG8" s="434"/>
      <c r="BH8" s="434"/>
      <c r="BI8" s="1079">
        <v>0</v>
      </c>
    </row>
    <row r="9" spans="1:61" ht="11.25" hidden="1" customHeight="1">
      <c r="A9" s="1287"/>
      <c r="B9" s="1287"/>
      <c r="C9" s="1287"/>
      <c r="D9" s="1287"/>
      <c r="E9" s="4034"/>
      <c r="F9" s="4034"/>
      <c r="G9" s="4034"/>
      <c r="H9" s="4034"/>
      <c r="I9" s="4036"/>
      <c r="J9" s="4036"/>
      <c r="K9" s="4035"/>
      <c r="L9" s="1288"/>
      <c r="P9" s="4037"/>
      <c r="Q9" s="4037"/>
      <c r="R9" s="4093"/>
      <c r="S9" s="4091"/>
      <c r="T9" s="4111"/>
      <c r="U9" s="235"/>
      <c r="V9" s="1317"/>
      <c r="W9" s="1420"/>
      <c r="X9" s="1317"/>
      <c r="Y9" s="1420"/>
      <c r="Z9" s="1317"/>
      <c r="AA9" s="1317"/>
      <c r="AB9" s="1317"/>
      <c r="AC9" s="1317"/>
      <c r="AD9" s="3953"/>
      <c r="AE9" s="4086"/>
      <c r="AF9" s="3991"/>
      <c r="AG9" s="4109"/>
      <c r="AH9" s="3899"/>
      <c r="AI9" s="4086"/>
      <c r="AJ9" s="3991"/>
      <c r="AK9" s="4100"/>
      <c r="AL9" s="3899"/>
      <c r="AM9" s="3973"/>
      <c r="AN9" s="3991"/>
      <c r="AO9" s="4113"/>
      <c r="AP9" s="4115"/>
      <c r="AQ9" s="251"/>
      <c r="AR9" s="350"/>
      <c r="AS9" s="350" t="s">
        <v>711</v>
      </c>
      <c r="AT9" s="1317"/>
      <c r="AU9" s="1420"/>
      <c r="AV9" s="1317"/>
      <c r="AW9" s="1420"/>
      <c r="AX9" s="1317"/>
      <c r="AY9" s="1317"/>
      <c r="AZ9" s="1317"/>
      <c r="BA9" s="1317"/>
      <c r="BB9" s="1321"/>
      <c r="BC9" s="4057"/>
      <c r="BE9" s="434"/>
      <c r="BF9" s="434"/>
      <c r="BG9" s="434"/>
      <c r="BH9" s="434"/>
      <c r="BI9" s="1079">
        <v>0</v>
      </c>
    </row>
    <row r="10" spans="1:61" ht="11.25" hidden="1" customHeight="1">
      <c r="A10" s="1287"/>
      <c r="B10" s="1287"/>
      <c r="C10" s="1287"/>
      <c r="D10" s="1287"/>
      <c r="E10" s="4034"/>
      <c r="F10" s="4034"/>
      <c r="G10" s="4034"/>
      <c r="H10" s="4034"/>
      <c r="I10" s="4036"/>
      <c r="J10" s="4036"/>
      <c r="K10" s="4035"/>
      <c r="L10" s="1288"/>
      <c r="P10" s="4037"/>
      <c r="Q10" s="4037"/>
      <c r="R10" s="4093"/>
      <c r="S10" s="4091"/>
      <c r="T10" s="4111"/>
      <c r="U10" s="235"/>
      <c r="V10" s="1317"/>
      <c r="W10" s="1420"/>
      <c r="X10" s="1317"/>
      <c r="Y10" s="1420"/>
      <c r="Z10" s="1317"/>
      <c r="AA10" s="1317"/>
      <c r="AB10" s="1317"/>
      <c r="AC10" s="1317"/>
      <c r="AD10" s="3953"/>
      <c r="AE10" s="4086"/>
      <c r="AF10" s="3991"/>
      <c r="AG10" s="4109"/>
      <c r="AH10" s="3899"/>
      <c r="AI10" s="4086"/>
      <c r="AJ10" s="3991"/>
      <c r="AK10" s="4100"/>
      <c r="AL10" s="3899"/>
      <c r="AM10" s="251"/>
      <c r="AN10" s="1424"/>
      <c r="AO10" s="1424" t="s">
        <v>712</v>
      </c>
      <c r="AP10" s="350"/>
      <c r="AQ10" s="350"/>
      <c r="AR10" s="350"/>
      <c r="AS10" s="1317"/>
      <c r="AT10" s="1317"/>
      <c r="AU10" s="1420"/>
      <c r="AV10" s="1317"/>
      <c r="AW10" s="1420"/>
      <c r="AX10" s="1317"/>
      <c r="AY10" s="1317"/>
      <c r="AZ10" s="1317"/>
      <c r="BA10" s="1317"/>
      <c r="BB10" s="1321"/>
      <c r="BC10" s="4057"/>
      <c r="BE10" s="434"/>
      <c r="BF10" s="434"/>
      <c r="BG10" s="434"/>
      <c r="BH10" s="434"/>
      <c r="BI10" s="1079">
        <v>0</v>
      </c>
    </row>
    <row r="11" spans="1:61" ht="11.25" hidden="1" customHeight="1">
      <c r="A11" s="1287"/>
      <c r="B11" s="1287"/>
      <c r="C11" s="1287"/>
      <c r="D11" s="1287"/>
      <c r="E11" s="4034"/>
      <c r="F11" s="4034"/>
      <c r="G11" s="4034"/>
      <c r="H11" s="4034"/>
      <c r="I11" s="4036"/>
      <c r="J11" s="4036"/>
      <c r="K11" s="4035"/>
      <c r="L11" s="1288"/>
      <c r="P11" s="4037"/>
      <c r="Q11" s="4037"/>
      <c r="R11" s="4093"/>
      <c r="S11" s="4091"/>
      <c r="T11" s="4111"/>
      <c r="U11" s="235"/>
      <c r="V11" s="1317"/>
      <c r="W11" s="1420"/>
      <c r="X11" s="1317"/>
      <c r="Y11" s="1420"/>
      <c r="Z11" s="1317"/>
      <c r="AA11" s="1317"/>
      <c r="AB11" s="1317"/>
      <c r="AC11" s="1317"/>
      <c r="AD11" s="3953"/>
      <c r="AE11" s="4086"/>
      <c r="AF11" s="3991"/>
      <c r="AG11" s="4109"/>
      <c r="AH11" s="3899"/>
      <c r="AI11" s="229"/>
      <c r="AJ11" s="349"/>
      <c r="AK11" s="248" t="s">
        <v>713</v>
      </c>
      <c r="AL11" s="1317"/>
      <c r="AM11" s="1317"/>
      <c r="AN11" s="1317"/>
      <c r="AO11" s="1317"/>
      <c r="AP11" s="1317"/>
      <c r="AQ11" s="1317"/>
      <c r="AR11" s="1317"/>
      <c r="AS11" s="1317"/>
      <c r="AT11" s="1317"/>
      <c r="AU11" s="1420"/>
      <c r="AV11" s="1317"/>
      <c r="AW11" s="1420"/>
      <c r="AX11" s="1317"/>
      <c r="AY11" s="1317"/>
      <c r="AZ11" s="1317"/>
      <c r="BA11" s="1317"/>
      <c r="BB11" s="1321"/>
      <c r="BC11" s="4057"/>
      <c r="BE11" s="434"/>
      <c r="BF11" s="434"/>
      <c r="BG11" s="434"/>
      <c r="BH11" s="434"/>
      <c r="BI11" s="1079">
        <v>0</v>
      </c>
    </row>
    <row r="12" spans="1:61" ht="11.25" hidden="1" customHeight="1">
      <c r="A12" s="1287"/>
      <c r="B12" s="1287"/>
      <c r="C12" s="1287"/>
      <c r="D12" s="1287"/>
      <c r="E12" s="4034"/>
      <c r="F12" s="4034"/>
      <c r="G12" s="4034"/>
      <c r="H12" s="4034"/>
      <c r="I12" s="4036"/>
      <c r="J12" s="4036"/>
      <c r="K12" s="4035"/>
      <c r="L12" s="1288"/>
      <c r="P12" s="4037"/>
      <c r="Q12" s="4037"/>
      <c r="R12" s="4093"/>
      <c r="S12" s="4092"/>
      <c r="T12" s="4112"/>
      <c r="U12" s="235"/>
      <c r="V12" s="1317"/>
      <c r="W12" s="1318" t="str">
        <f>Z8&amp;"-"&amp;AB8</f>
        <v>-</v>
      </c>
      <c r="X12" s="1317"/>
      <c r="Y12" s="1318" t="str">
        <f>AB8&amp;"-"&amp;AD8</f>
        <v>-да</v>
      </c>
      <c r="Z12" s="1317"/>
      <c r="AA12" s="1317"/>
      <c r="AB12" s="1317"/>
      <c r="AC12" s="1317"/>
      <c r="AD12" s="3904"/>
      <c r="AE12" s="247"/>
      <c r="AF12" s="249"/>
      <c r="AG12" s="350" t="s">
        <v>714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4057"/>
      <c r="BE12" s="434"/>
      <c r="BF12" s="434" t="str">
        <f t="shared" ref="BF12:BF18" si="1">IF(T12="","",T12)</f>
        <v/>
      </c>
      <c r="BG12" s="434"/>
      <c r="BH12" s="434"/>
      <c r="BI12" s="1079">
        <v>0</v>
      </c>
    </row>
    <row r="13" spans="1:61" ht="11.25" hidden="1" customHeight="1">
      <c r="A13" s="1287"/>
      <c r="B13" s="1287"/>
      <c r="C13" s="1287"/>
      <c r="D13" s="1287"/>
      <c r="E13" s="4034"/>
      <c r="F13" s="4034"/>
      <c r="G13" s="4034"/>
      <c r="H13" s="4034"/>
      <c r="I13" s="4036"/>
      <c r="J13" s="4035"/>
      <c r="K13" s="1287"/>
      <c r="L13" s="1288"/>
      <c r="P13" s="4037"/>
      <c r="Q13" s="4037"/>
      <c r="R13" s="290"/>
      <c r="S13" s="1202"/>
      <c r="T13" s="222" t="s">
        <v>677</v>
      </c>
      <c r="U13" s="301"/>
      <c r="V13" s="301"/>
      <c r="W13" s="301"/>
      <c r="X13" s="301"/>
      <c r="Y13" s="301"/>
      <c r="Z13" s="301"/>
      <c r="AA13" s="301"/>
      <c r="AB13" s="301"/>
      <c r="AC13" s="301"/>
      <c r="AD13" s="1429"/>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4058"/>
      <c r="BE13" s="434"/>
      <c r="BF13" s="434" t="str">
        <f t="shared" si="1"/>
        <v>Добавить строку</v>
      </c>
      <c r="BG13" s="434"/>
      <c r="BH13" s="434"/>
      <c r="BI13" s="1079">
        <v>0</v>
      </c>
    </row>
    <row r="14" spans="1:61" s="1566" customFormat="1" ht="14.25" hidden="1" customHeight="1">
      <c r="A14" s="1267"/>
      <c r="B14" s="1267"/>
      <c r="C14" s="1267"/>
      <c r="D14" s="1267"/>
      <c r="E14" s="4034"/>
      <c r="F14" s="4034"/>
      <c r="G14" s="4034"/>
      <c r="H14" s="4034"/>
      <c r="I14" s="4035"/>
      <c r="J14" s="1267"/>
      <c r="K14" s="1267"/>
      <c r="L14" s="1270"/>
      <c r="M14" s="444"/>
      <c r="N14" s="444"/>
      <c r="O14" s="444"/>
      <c r="P14" s="4037"/>
      <c r="Q14" s="1386"/>
      <c r="R14" s="290"/>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4"/>
      <c r="BF14" s="434" t="str">
        <f t="shared" si="1"/>
        <v/>
      </c>
      <c r="BG14" s="434"/>
      <c r="BH14" s="434"/>
      <c r="BI14" s="445">
        <v>0</v>
      </c>
    </row>
    <row r="15" spans="1:61" s="1566" customFormat="1" ht="14.25" hidden="1" customHeight="1">
      <c r="A15" s="1267"/>
      <c r="B15" s="1267"/>
      <c r="C15" s="1267"/>
      <c r="D15" s="1267"/>
      <c r="E15" s="4034"/>
      <c r="F15" s="4034"/>
      <c r="G15" s="4034"/>
      <c r="H15" s="4033"/>
      <c r="I15" s="1267"/>
      <c r="J15" s="1267"/>
      <c r="K15" s="1267"/>
      <c r="L15" s="1270"/>
      <c r="M15" s="1239"/>
      <c r="N15" s="1239"/>
      <c r="O15" s="452"/>
      <c r="P15" s="314"/>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4"/>
      <c r="BF15" s="434" t="str">
        <f t="shared" si="1"/>
        <v/>
      </c>
      <c r="BG15" s="434"/>
      <c r="BH15" s="434"/>
      <c r="BI15" s="445">
        <v>0</v>
      </c>
    </row>
    <row r="16" spans="1:61" s="1566" customFormat="1" ht="14.25" hidden="1" customHeight="1">
      <c r="A16" s="1267"/>
      <c r="B16" s="1267"/>
      <c r="C16" s="1267"/>
      <c r="D16" s="1238"/>
      <c r="E16" s="4034"/>
      <c r="F16" s="4034"/>
      <c r="G16" s="4033"/>
      <c r="H16" s="1238"/>
      <c r="I16" s="1238"/>
      <c r="J16" s="1238"/>
      <c r="K16" s="1238"/>
      <c r="L16" s="138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7"/>
      <c r="BF16" s="717" t="str">
        <f t="shared" si="1"/>
        <v/>
      </c>
      <c r="BG16" s="717"/>
      <c r="BH16" s="717"/>
      <c r="BI16" s="452">
        <v>0</v>
      </c>
    </row>
    <row r="17" spans="1:61" s="1566" customFormat="1" ht="14.25" hidden="1" customHeight="1">
      <c r="A17" s="1267"/>
      <c r="B17" s="1267"/>
      <c r="C17" s="1238"/>
      <c r="D17" s="1238"/>
      <c r="E17" s="4034"/>
      <c r="F17" s="4033"/>
      <c r="G17" s="1238"/>
      <c r="H17" s="1238"/>
      <c r="I17" s="1238"/>
      <c r="J17" s="1238"/>
      <c r="K17" s="1238"/>
      <c r="L17" s="1388"/>
      <c r="M17" s="1245"/>
      <c r="N17" s="1245"/>
      <c r="P17" s="1240"/>
      <c r="Q17" s="1241"/>
      <c r="R17" s="1240"/>
      <c r="S17" s="1246"/>
      <c r="T17" s="1249" t="s">
        <v>236</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7"/>
      <c r="BF17" s="717" t="str">
        <f t="shared" si="1"/>
        <v>Добавить централизованную систему для дифференциации</v>
      </c>
      <c r="BG17" s="717"/>
      <c r="BH17" s="717"/>
      <c r="BI17" s="452">
        <v>0</v>
      </c>
    </row>
    <row r="18" spans="1:61" s="1566" customFormat="1" ht="14.25" hidden="1" customHeight="1">
      <c r="A18" s="1267"/>
      <c r="B18" s="1267"/>
      <c r="C18" s="1267"/>
      <c r="D18" s="1267"/>
      <c r="E18" s="4033"/>
      <c r="F18" s="1267"/>
      <c r="G18" s="1267"/>
      <c r="H18" s="1267"/>
      <c r="I18" s="1267"/>
      <c r="J18" s="1267"/>
      <c r="K18" s="1267"/>
      <c r="L18" s="1270"/>
      <c r="M18" s="1245"/>
      <c r="N18" s="1245"/>
      <c r="O18" s="452"/>
      <c r="P18" s="314"/>
      <c r="Q18" s="1268"/>
      <c r="R18" s="314"/>
      <c r="S18" s="1246"/>
      <c r="T18" s="1249" t="s">
        <v>286</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4"/>
      <c r="BF18" s="434" t="str">
        <f t="shared" si="1"/>
        <v>Добавить территорию для дифференциации</v>
      </c>
      <c r="BG18" s="434"/>
      <c r="BH18" s="434"/>
      <c r="BI18" s="445">
        <v>0</v>
      </c>
    </row>
    <row r="19" spans="1:61" ht="14.25" hidden="1" customHeight="1">
      <c r="AC19" s="262"/>
      <c r="BA19" s="262"/>
      <c r="BI19" s="1079">
        <v>0</v>
      </c>
    </row>
    <row r="20" spans="1:61" ht="14.25" hidden="1" customHeight="1">
      <c r="AD20" s="1248" t="s">
        <v>6</v>
      </c>
      <c r="AE20" s="1425"/>
      <c r="AF20" s="482">
        <v>1</v>
      </c>
      <c r="AG20" s="1426"/>
      <c r="AH20" s="1248" t="s">
        <v>6</v>
      </c>
      <c r="AI20" s="1425"/>
      <c r="AJ20" s="482">
        <v>1</v>
      </c>
      <c r="AK20" s="1426"/>
      <c r="AL20" s="1248" t="s">
        <v>6</v>
      </c>
      <c r="AM20" s="1427"/>
      <c r="AN20" s="482">
        <v>1</v>
      </c>
      <c r="AO20" s="1428"/>
      <c r="AP20" s="1248" t="s">
        <v>6</v>
      </c>
      <c r="AQ20" s="1427"/>
      <c r="AR20" s="482">
        <v>1</v>
      </c>
      <c r="AS20" s="1428"/>
      <c r="AT20" s="260"/>
      <c r="AU20" s="318"/>
      <c r="AV20" s="260"/>
      <c r="AW20" s="318"/>
      <c r="AX20" s="1632"/>
      <c r="AY20" s="1384" t="s">
        <v>53</v>
      </c>
      <c r="AZ20" s="1632"/>
      <c r="BA20" s="1384" t="s">
        <v>53</v>
      </c>
      <c r="BI20" s="1079">
        <v>0</v>
      </c>
    </row>
    <row r="21" spans="1:61" ht="14.25" hidden="1" customHeight="1">
      <c r="BD21" s="430"/>
      <c r="BE21" s="430"/>
      <c r="BF21" s="430"/>
      <c r="BG21" s="430"/>
      <c r="BH21" s="430"/>
      <c r="BI21" s="1079">
        <v>0</v>
      </c>
    </row>
    <row r="22" spans="1:61" ht="14.25" hidden="1" customHeight="1">
      <c r="O22" s="1291" t="s">
        <v>622</v>
      </c>
      <c r="Z22" s="1269"/>
      <c r="AB22" s="1269"/>
      <c r="AC22" s="262"/>
      <c r="AX22" s="1269"/>
      <c r="AZ22" s="1269"/>
      <c r="BA22" s="262"/>
      <c r="BD22" s="430"/>
      <c r="BE22" s="430"/>
      <c r="BF22" s="430"/>
      <c r="BG22" s="430"/>
      <c r="BH22" s="430"/>
      <c r="BI22" s="1079">
        <v>0</v>
      </c>
    </row>
    <row r="23" spans="1:61" ht="14.25" hidden="1" customHeight="1">
      <c r="AC23" s="262"/>
      <c r="BA23" s="262"/>
      <c r="BD23" s="430"/>
      <c r="BE23" s="430"/>
      <c r="BF23" s="430"/>
      <c r="BG23" s="430"/>
      <c r="BH23" s="430"/>
      <c r="BI23" s="1079">
        <v>0</v>
      </c>
    </row>
    <row r="24" spans="1:61" s="1433" customFormat="1" ht="14.25" hidden="1" customHeight="1">
      <c r="M24" s="1432"/>
      <c r="N24" s="1432"/>
      <c r="O24" s="1433" t="s">
        <v>623</v>
      </c>
      <c r="P24" s="1432"/>
      <c r="Q24" s="1434"/>
      <c r="R24" s="1434"/>
      <c r="AA24" s="1431" t="s">
        <v>625</v>
      </c>
      <c r="AC24" s="1431" t="s">
        <v>626</v>
      </c>
      <c r="AD24" s="1431" t="s">
        <v>678</v>
      </c>
      <c r="AH24" s="1431" t="s">
        <v>678</v>
      </c>
      <c r="AK24" s="1431" t="s">
        <v>715</v>
      </c>
      <c r="AL24" s="1431" t="s">
        <v>678</v>
      </c>
      <c r="AP24" s="1431" t="s">
        <v>678</v>
      </c>
      <c r="AY24" s="1431" t="s">
        <v>625</v>
      </c>
      <c r="BA24" s="1431" t="s">
        <v>626</v>
      </c>
      <c r="BD24" s="1435"/>
      <c r="BE24" s="1435"/>
      <c r="BF24" s="1435"/>
      <c r="BG24" s="1435"/>
      <c r="BH24" s="1435"/>
      <c r="BI24" s="1431">
        <v>0</v>
      </c>
    </row>
    <row r="25" spans="1:61" ht="14.25" hidden="1" customHeight="1">
      <c r="O25" s="1288"/>
      <c r="BD25" s="430"/>
      <c r="BE25" s="430"/>
      <c r="BF25" s="430"/>
      <c r="BG25" s="430"/>
      <c r="BH25" s="430"/>
      <c r="BI25" s="1079">
        <v>0</v>
      </c>
    </row>
    <row r="26" spans="1:61" ht="14.25" hidden="1" customHeight="1">
      <c r="O26" s="1288"/>
      <c r="BD26" s="430"/>
      <c r="BE26" s="430"/>
      <c r="BF26" s="430"/>
      <c r="BG26" s="430"/>
      <c r="BH26" s="430"/>
      <c r="BI26" s="1079">
        <v>0</v>
      </c>
    </row>
    <row r="27" spans="1:61" ht="14.65" customHeight="1">
      <c r="Q27" s="226"/>
      <c r="R27" s="310"/>
      <c r="S27" s="1199"/>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9">
        <v>14</v>
      </c>
    </row>
    <row r="28" spans="1:61" ht="14.65" customHeight="1">
      <c r="Q28" s="226"/>
      <c r="R28" s="310"/>
      <c r="S28" s="401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4014"/>
      <c r="U28" s="4014"/>
      <c r="V28" s="4014"/>
      <c r="W28" s="4014"/>
      <c r="X28" s="4014"/>
      <c r="Y28" s="4014"/>
      <c r="Z28" s="4014"/>
      <c r="AA28" s="4014"/>
      <c r="AB28" s="4014"/>
      <c r="AC28" s="4014"/>
      <c r="AD28" s="4014"/>
      <c r="AE28" s="4014"/>
      <c r="AF28" s="4014"/>
      <c r="AG28" s="4014"/>
      <c r="AH28" s="4014"/>
      <c r="AI28" s="4014"/>
      <c r="AJ28" s="4014"/>
      <c r="AK28" s="4014"/>
      <c r="AL28" s="4014"/>
      <c r="AM28" s="4014"/>
      <c r="AN28" s="4014"/>
      <c r="AO28" s="4014"/>
      <c r="AP28" s="4014"/>
      <c r="AQ28" s="4014"/>
      <c r="AR28" s="4014"/>
      <c r="AS28" s="4014"/>
      <c r="AT28" s="4014"/>
      <c r="AU28" s="4014"/>
      <c r="AV28" s="4014"/>
      <c r="AW28" s="4014"/>
      <c r="AX28" s="4014"/>
      <c r="AY28" s="4014"/>
      <c r="AZ28" s="4014"/>
      <c r="BA28" s="1167"/>
      <c r="BI28" s="1079">
        <v>14</v>
      </c>
    </row>
    <row r="29" spans="1:61" ht="14.65" customHeight="1">
      <c r="Q29" s="226"/>
      <c r="R29" s="310"/>
      <c r="S29" s="3987" t="str">
        <f>IF(org=0,"Не определено",org)</f>
        <v>ООО "Смоленскрегионтеплоэнерго"</v>
      </c>
      <c r="T29" s="3987"/>
      <c r="U29" s="3987"/>
      <c r="V29" s="3987"/>
      <c r="W29" s="3987"/>
      <c r="X29" s="3987"/>
      <c r="Y29" s="3987"/>
      <c r="Z29" s="3987"/>
      <c r="AA29" s="3987"/>
      <c r="AB29" s="3987"/>
      <c r="AC29" s="3987"/>
      <c r="AD29" s="3987"/>
      <c r="AE29" s="3987"/>
      <c r="AF29" s="3987"/>
      <c r="AG29" s="3987"/>
      <c r="AH29" s="3987"/>
      <c r="AI29" s="3987"/>
      <c r="AJ29" s="3987"/>
      <c r="AK29" s="3987"/>
      <c r="AL29" s="3987"/>
      <c r="AM29" s="3987"/>
      <c r="AN29" s="3987"/>
      <c r="AO29" s="3987"/>
      <c r="AP29" s="3987"/>
      <c r="AQ29" s="3987"/>
      <c r="AR29" s="3987"/>
      <c r="AS29" s="3987"/>
      <c r="AT29" s="3987"/>
      <c r="AU29" s="3987"/>
      <c r="AV29" s="3987"/>
      <c r="AW29" s="3987"/>
      <c r="AX29" s="3987"/>
      <c r="AY29" s="3987"/>
      <c r="AZ29" s="3987"/>
      <c r="BA29" s="1167"/>
      <c r="BI29" s="1079">
        <v>14</v>
      </c>
    </row>
    <row r="30" spans="1:61" ht="14.25" hidden="1" customHeight="1">
      <c r="Q30" s="226"/>
      <c r="R30" s="310"/>
      <c r="S30" s="1199"/>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9">
        <v>0</v>
      </c>
    </row>
    <row r="31" spans="1:61" s="1748" customFormat="1" ht="25.5" hidden="1" customHeight="1">
      <c r="A31" s="1292"/>
      <c r="B31" s="1292"/>
      <c r="C31" s="1292"/>
      <c r="D31" s="1292"/>
      <c r="E31" s="1292"/>
      <c r="F31" s="1292"/>
      <c r="G31" s="1292"/>
      <c r="H31" s="1292"/>
      <c r="I31" s="1292"/>
      <c r="J31" s="1292"/>
      <c r="K31" s="1292"/>
      <c r="L31" s="1293"/>
      <c r="M31" s="1292"/>
      <c r="N31" s="1292"/>
      <c r="O31" s="1292"/>
      <c r="P31" s="1292"/>
      <c r="Q31" s="1292"/>
      <c r="S31" s="4024" t="s">
        <v>29</v>
      </c>
      <c r="T31" s="4024"/>
      <c r="U31" s="1296"/>
      <c r="V31" s="4026" t="str">
        <f>IF(TITLE_NAME_OR_PR_CHANGE="",IF(TITLE_NAME_OR_PR="","",TITLE_NAME_OR_PR),TITLE_NAME_OR_PR_CHANGE)</f>
        <v/>
      </c>
      <c r="W31" s="4026"/>
      <c r="X31" s="4026"/>
      <c r="Y31" s="4026"/>
      <c r="Z31" s="4026"/>
      <c r="AA31" s="4026"/>
      <c r="AB31" s="4026"/>
      <c r="AC31" s="261"/>
      <c r="AD31" s="4026" t="str">
        <f>IF(TITLE_NAME_OR_PR_CHANGE="",IF(TITLE_NAME_OR_PR="","",TITLE_NAME_OR_PR),TITLE_NAME_OR_PR_CHANGE)</f>
        <v/>
      </c>
      <c r="AE31" s="4026"/>
      <c r="AF31" s="4026"/>
      <c r="AG31" s="4026"/>
      <c r="AH31" s="4026"/>
      <c r="AI31" s="4026"/>
      <c r="AJ31" s="4026"/>
      <c r="AK31" s="4026"/>
      <c r="AL31" s="4026"/>
      <c r="AM31" s="4026"/>
      <c r="AN31" s="4026"/>
      <c r="AO31" s="4026"/>
      <c r="AP31" s="4026"/>
      <c r="AQ31" s="4026"/>
      <c r="AR31" s="4026"/>
      <c r="AS31" s="4026"/>
      <c r="AT31" s="4026"/>
      <c r="AU31" s="4026"/>
      <c r="AV31" s="4026"/>
      <c r="AW31" s="4026"/>
      <c r="AX31" s="4026"/>
      <c r="AY31" s="4026"/>
      <c r="AZ31" s="4026"/>
      <c r="BA31" s="261"/>
      <c r="BB31" s="261"/>
      <c r="BC31" s="215"/>
      <c r="BD31" s="302"/>
      <c r="BE31" s="302"/>
      <c r="BF31" s="302"/>
      <c r="BG31" s="302"/>
      <c r="BH31" s="302"/>
      <c r="BI31" s="352">
        <v>0</v>
      </c>
    </row>
    <row r="32" spans="1:61" s="1748" customFormat="1" ht="18.75" hidden="1" customHeight="1">
      <c r="A32" s="1292"/>
      <c r="B32" s="1292"/>
      <c r="C32" s="1292"/>
      <c r="D32" s="1292"/>
      <c r="E32" s="1292"/>
      <c r="F32" s="1292"/>
      <c r="G32" s="1292"/>
      <c r="H32" s="1292"/>
      <c r="I32" s="1292"/>
      <c r="J32" s="1292"/>
      <c r="K32" s="1292"/>
      <c r="L32" s="1293"/>
      <c r="M32" s="1292"/>
      <c r="N32" s="1292"/>
      <c r="O32" s="1292"/>
      <c r="P32" s="1292"/>
      <c r="Q32" s="1292"/>
      <c r="S32" s="4024" t="s">
        <v>628</v>
      </c>
      <c r="T32" s="4024"/>
      <c r="U32" s="1296"/>
      <c r="V32" s="4025">
        <f>IF(TITLE_DATE_PR_CHANGE="",IF(TITLE_DATE_PR="","",TITLE_DATE_PR),TITLE_DATE_PR_CHANGE)</f>
        <v>45765</v>
      </c>
      <c r="W32" s="4025"/>
      <c r="X32" s="4025"/>
      <c r="Y32" s="4025"/>
      <c r="Z32" s="4025"/>
      <c r="AA32" s="4025"/>
      <c r="AB32" s="4025"/>
      <c r="AC32" s="261"/>
      <c r="AD32" s="4025">
        <f>IF(TITLE_DATE_PR_CHANGE="",IF(TITLE_DATE_PR="","",TITLE_DATE_PR),TITLE_DATE_PR_CHANGE)</f>
        <v>45765</v>
      </c>
      <c r="AE32" s="4025"/>
      <c r="AF32" s="4025"/>
      <c r="AG32" s="4025"/>
      <c r="AH32" s="4025"/>
      <c r="AI32" s="4025"/>
      <c r="AJ32" s="4025"/>
      <c r="AK32" s="4025"/>
      <c r="AL32" s="4025"/>
      <c r="AM32" s="4025"/>
      <c r="AN32" s="4025"/>
      <c r="AO32" s="4025"/>
      <c r="AP32" s="4025"/>
      <c r="AQ32" s="4025"/>
      <c r="AR32" s="4025"/>
      <c r="AS32" s="4025"/>
      <c r="AT32" s="4025"/>
      <c r="AU32" s="4025"/>
      <c r="AV32" s="4025"/>
      <c r="AW32" s="4025"/>
      <c r="AX32" s="4025"/>
      <c r="AY32" s="4025"/>
      <c r="AZ32" s="4025"/>
      <c r="BA32" s="261"/>
      <c r="BB32" s="261"/>
      <c r="BC32" s="215"/>
      <c r="BD32" s="302"/>
      <c r="BE32" s="302"/>
      <c r="BF32" s="302"/>
      <c r="BG32" s="302"/>
      <c r="BH32" s="302"/>
      <c r="BI32" s="352">
        <v>0</v>
      </c>
    </row>
    <row r="33" spans="1:61" s="1748" customFormat="1" ht="18.75" hidden="1" customHeight="1">
      <c r="A33" s="1292"/>
      <c r="B33" s="1292"/>
      <c r="C33" s="1292"/>
      <c r="D33" s="1292"/>
      <c r="E33" s="1292"/>
      <c r="F33" s="1292"/>
      <c r="G33" s="1292"/>
      <c r="H33" s="1292"/>
      <c r="I33" s="1292"/>
      <c r="J33" s="1292"/>
      <c r="K33" s="1292"/>
      <c r="L33" s="1293"/>
      <c r="M33" s="1292"/>
      <c r="N33" s="1292"/>
      <c r="O33" s="1292"/>
      <c r="P33" s="1292"/>
      <c r="Q33" s="1292"/>
      <c r="S33" s="4024" t="s">
        <v>629</v>
      </c>
      <c r="T33" s="4024"/>
      <c r="U33" s="1296"/>
      <c r="V33" s="4026" t="str">
        <f>IF(TITLE_NUMBER_PR_CHANGE="",IF(TITLE_NUMBER_PR="","",TITLE_NUMBER_PR),TITLE_NUMBER_PR_CHANGE)</f>
        <v>917</v>
      </c>
      <c r="W33" s="4026"/>
      <c r="X33" s="4026"/>
      <c r="Y33" s="4026"/>
      <c r="Z33" s="4026"/>
      <c r="AA33" s="4026"/>
      <c r="AB33" s="4026"/>
      <c r="AC33" s="261"/>
      <c r="AD33" s="4026" t="str">
        <f>IF(TITLE_NUMBER_PR_CHANGE="",IF(TITLE_NUMBER_PR="","",TITLE_NUMBER_PR),TITLE_NUMBER_PR_CHANGE)</f>
        <v>917</v>
      </c>
      <c r="AE33" s="4026"/>
      <c r="AF33" s="4026"/>
      <c r="AG33" s="4026"/>
      <c r="AH33" s="4026"/>
      <c r="AI33" s="4026"/>
      <c r="AJ33" s="4026"/>
      <c r="AK33" s="4026"/>
      <c r="AL33" s="4026"/>
      <c r="AM33" s="4026"/>
      <c r="AN33" s="4026"/>
      <c r="AO33" s="4026"/>
      <c r="AP33" s="4026"/>
      <c r="AQ33" s="4026"/>
      <c r="AR33" s="4026"/>
      <c r="AS33" s="4026"/>
      <c r="AT33" s="4026"/>
      <c r="AU33" s="4026"/>
      <c r="AV33" s="4026"/>
      <c r="AW33" s="4026"/>
      <c r="AX33" s="4026"/>
      <c r="AY33" s="4026"/>
      <c r="AZ33" s="4026"/>
      <c r="BA33" s="261"/>
      <c r="BB33" s="261"/>
      <c r="BC33" s="215"/>
      <c r="BD33" s="302"/>
      <c r="BE33" s="302"/>
      <c r="BF33" s="302"/>
      <c r="BG33" s="302"/>
      <c r="BH33" s="302"/>
      <c r="BI33" s="352">
        <v>0</v>
      </c>
    </row>
    <row r="34" spans="1:61" s="1748" customFormat="1" ht="18.75" hidden="1" customHeight="1">
      <c r="A34" s="1292"/>
      <c r="B34" s="1292"/>
      <c r="C34" s="1292"/>
      <c r="D34" s="1292"/>
      <c r="E34" s="1292"/>
      <c r="F34" s="1292"/>
      <c r="G34" s="1292"/>
      <c r="H34" s="1292"/>
      <c r="I34" s="1292"/>
      <c r="J34" s="1292"/>
      <c r="K34" s="1292"/>
      <c r="L34" s="1293"/>
      <c r="M34" s="1292"/>
      <c r="N34" s="1292"/>
      <c r="O34" s="1292"/>
      <c r="P34" s="1292"/>
      <c r="Q34" s="1292"/>
      <c r="S34" s="4024" t="s">
        <v>30</v>
      </c>
      <c r="T34" s="4024"/>
      <c r="U34" s="1296"/>
      <c r="V34" s="4026" t="str">
        <f>IF(TITLE_IST_PUB_CHANGE="",IF(TITLE_IST_PUB="","",TITLE_IST_PUB),TITLE_IST_PUB_CHANGE)</f>
        <v/>
      </c>
      <c r="W34" s="4026"/>
      <c r="X34" s="4026"/>
      <c r="Y34" s="4026"/>
      <c r="Z34" s="4026"/>
      <c r="AA34" s="4026"/>
      <c r="AB34" s="4026"/>
      <c r="AC34" s="261"/>
      <c r="AD34" s="4026" t="str">
        <f>IF(TITLE_IST_PUB_CHANGE="",IF(TITLE_IST_PUB="","",TITLE_IST_PUB),TITLE_IST_PUB_CHANGE)</f>
        <v/>
      </c>
      <c r="AE34" s="4026"/>
      <c r="AF34" s="4026"/>
      <c r="AG34" s="4026"/>
      <c r="AH34" s="4026"/>
      <c r="AI34" s="4026"/>
      <c r="AJ34" s="4026"/>
      <c r="AK34" s="4026"/>
      <c r="AL34" s="4026"/>
      <c r="AM34" s="4026"/>
      <c r="AN34" s="4026"/>
      <c r="AO34" s="4026"/>
      <c r="AP34" s="4026"/>
      <c r="AQ34" s="4026"/>
      <c r="AR34" s="4026"/>
      <c r="AS34" s="4026"/>
      <c r="AT34" s="4026"/>
      <c r="AU34" s="4026"/>
      <c r="AV34" s="4026"/>
      <c r="AW34" s="4026"/>
      <c r="AX34" s="4026"/>
      <c r="AY34" s="4026"/>
      <c r="AZ34" s="4026"/>
      <c r="BA34" s="261"/>
      <c r="BB34" s="261"/>
      <c r="BC34" s="215"/>
      <c r="BD34" s="302"/>
      <c r="BE34" s="302"/>
      <c r="BF34" s="302"/>
      <c r="BG34" s="302"/>
      <c r="BH34" s="302"/>
      <c r="BI34" s="352">
        <v>0</v>
      </c>
    </row>
    <row r="35" spans="1:61" ht="14.25" customHeight="1">
      <c r="Q35" s="226"/>
      <c r="R35" s="310"/>
      <c r="S35" s="1199"/>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9">
        <v>0</v>
      </c>
    </row>
    <row r="36" spans="1:61" s="1748" customFormat="1" ht="18.75" customHeight="1">
      <c r="A36" s="1292"/>
      <c r="B36" s="1292"/>
      <c r="C36" s="1292"/>
      <c r="D36" s="1292"/>
      <c r="E36" s="1292"/>
      <c r="F36" s="1292"/>
      <c r="G36" s="1292"/>
      <c r="H36" s="1292"/>
      <c r="I36" s="1292"/>
      <c r="J36" s="1292"/>
      <c r="K36" s="1292"/>
      <c r="L36" s="1293"/>
      <c r="M36" s="1292"/>
      <c r="N36" s="1292"/>
      <c r="O36" s="1292"/>
      <c r="P36" s="1292"/>
      <c r="Q36" s="1292"/>
      <c r="S36" s="4024" t="s">
        <v>628</v>
      </c>
      <c r="T36" s="4024"/>
      <c r="U36" s="1296"/>
      <c r="V36" s="4025">
        <f>IF(TITLE_DATE_PR_CHANGE="",IF(TITLE_DATE_PR="","",TITLE_DATE_PR),TITLE_DATE_PR_CHANGE)</f>
        <v>45765</v>
      </c>
      <c r="W36" s="4025"/>
      <c r="X36" s="4025"/>
      <c r="Y36" s="4025"/>
      <c r="Z36" s="4025"/>
      <c r="AA36" s="4025"/>
      <c r="AB36" s="4025"/>
      <c r="AC36" s="261"/>
      <c r="AD36" s="4025">
        <f>IF(TITLE_DATE_PR_CHANGE="",IF(TITLE_DATE_PR="","",TITLE_DATE_PR),TITLE_DATE_PR_CHANGE)</f>
        <v>45765</v>
      </c>
      <c r="AE36" s="4025"/>
      <c r="AF36" s="4025"/>
      <c r="AG36" s="4025"/>
      <c r="AH36" s="4025"/>
      <c r="AI36" s="4025"/>
      <c r="AJ36" s="4025"/>
      <c r="AK36" s="4025"/>
      <c r="AL36" s="4025"/>
      <c r="AM36" s="4025"/>
      <c r="AN36" s="4025"/>
      <c r="AO36" s="4025"/>
      <c r="AP36" s="4025"/>
      <c r="AQ36" s="4025"/>
      <c r="AR36" s="4025"/>
      <c r="AS36" s="4025"/>
      <c r="AT36" s="4025"/>
      <c r="AU36" s="4025"/>
      <c r="AV36" s="4025"/>
      <c r="AW36" s="4025"/>
      <c r="AX36" s="4025"/>
      <c r="AY36" s="4025"/>
      <c r="AZ36" s="4025"/>
      <c r="BA36" s="261"/>
      <c r="BB36" s="261"/>
      <c r="BC36" s="215"/>
      <c r="BD36" s="302"/>
      <c r="BE36" s="302"/>
      <c r="BF36" s="302"/>
      <c r="BG36" s="302"/>
      <c r="BH36" s="302"/>
      <c r="BI36" s="352">
        <v>0</v>
      </c>
    </row>
    <row r="37" spans="1:61" s="1748" customFormat="1" ht="18.75" customHeight="1">
      <c r="A37" s="1292"/>
      <c r="B37" s="1292"/>
      <c r="C37" s="1292"/>
      <c r="D37" s="1292"/>
      <c r="E37" s="1292"/>
      <c r="F37" s="1292"/>
      <c r="G37" s="1292"/>
      <c r="H37" s="1292"/>
      <c r="I37" s="1292"/>
      <c r="J37" s="1292"/>
      <c r="K37" s="1292"/>
      <c r="L37" s="1293"/>
      <c r="M37" s="1292"/>
      <c r="N37" s="1292"/>
      <c r="O37" s="1292"/>
      <c r="P37" s="1292"/>
      <c r="Q37" s="1292"/>
      <c r="S37" s="4024" t="s">
        <v>629</v>
      </c>
      <c r="T37" s="4024"/>
      <c r="U37" s="1296"/>
      <c r="V37" s="4026" t="str">
        <f>IF(TITLE_NUMBER_PR_CHANGE="",IF(TITLE_NUMBER_PR="","",TITLE_NUMBER_PR),TITLE_NUMBER_PR_CHANGE)</f>
        <v>917</v>
      </c>
      <c r="W37" s="4026"/>
      <c r="X37" s="4026"/>
      <c r="Y37" s="4026"/>
      <c r="Z37" s="4026"/>
      <c r="AA37" s="4026"/>
      <c r="AB37" s="4026"/>
      <c r="AC37" s="261"/>
      <c r="AD37" s="4026" t="str">
        <f>IF(TITLE_NUMBER_PR_CHANGE="",IF(TITLE_NUMBER_PR="","",TITLE_NUMBER_PR),TITLE_NUMBER_PR_CHANGE)</f>
        <v>917</v>
      </c>
      <c r="AE37" s="4026"/>
      <c r="AF37" s="4026"/>
      <c r="AG37" s="4026"/>
      <c r="AH37" s="4026"/>
      <c r="AI37" s="4026"/>
      <c r="AJ37" s="4026"/>
      <c r="AK37" s="4026"/>
      <c r="AL37" s="4026"/>
      <c r="AM37" s="4026"/>
      <c r="AN37" s="4026"/>
      <c r="AO37" s="4026"/>
      <c r="AP37" s="4026"/>
      <c r="AQ37" s="4026"/>
      <c r="AR37" s="4026"/>
      <c r="AS37" s="4026"/>
      <c r="AT37" s="4026"/>
      <c r="AU37" s="4026"/>
      <c r="AV37" s="4026"/>
      <c r="AW37" s="4026"/>
      <c r="AX37" s="4026"/>
      <c r="AY37" s="4026"/>
      <c r="AZ37" s="4026"/>
      <c r="BA37" s="261"/>
      <c r="BB37" s="261"/>
      <c r="BC37" s="215"/>
      <c r="BD37" s="302"/>
      <c r="BE37" s="302"/>
      <c r="BF37" s="302"/>
      <c r="BG37" s="302"/>
      <c r="BH37" s="302"/>
      <c r="BI37" s="352">
        <v>0</v>
      </c>
    </row>
    <row r="38" spans="1:61" s="1748" customFormat="1" ht="0" hidden="1" customHeight="1">
      <c r="A38" s="1292"/>
      <c r="B38" s="1292"/>
      <c r="C38" s="1292"/>
      <c r="D38" s="1292"/>
      <c r="E38" s="1292"/>
      <c r="F38" s="1292"/>
      <c r="G38" s="1292"/>
      <c r="H38" s="1292"/>
      <c r="I38" s="1292"/>
      <c r="J38" s="1292"/>
      <c r="K38" s="1292"/>
      <c r="L38" s="1293"/>
      <c r="M38" s="1292"/>
      <c r="N38" s="1292"/>
      <c r="O38" s="1292"/>
      <c r="P38" s="1292"/>
      <c r="Q38" s="1292"/>
      <c r="S38" s="258"/>
      <c r="T38" s="258"/>
      <c r="U38" s="1378"/>
      <c r="V38" s="261"/>
      <c r="W38" s="261"/>
      <c r="X38" s="261"/>
      <c r="Y38" s="261"/>
      <c r="Z38" s="261"/>
      <c r="AA38" s="261"/>
      <c r="AB38" s="261"/>
      <c r="AC38" s="213" t="s">
        <v>632</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632</v>
      </c>
      <c r="BD38" s="302"/>
      <c r="BE38" s="302"/>
      <c r="BF38" s="302"/>
      <c r="BG38" s="302"/>
      <c r="BH38" s="302"/>
      <c r="BI38" s="352">
        <v>0</v>
      </c>
    </row>
    <row r="39" spans="1:61" ht="14.65" customHeight="1">
      <c r="Q39" s="226"/>
      <c r="R39" s="310"/>
      <c r="S39" s="1199"/>
      <c r="T39" s="297"/>
      <c r="U39" s="1168"/>
      <c r="V39" s="4045"/>
      <c r="W39" s="4045"/>
      <c r="X39" s="4045"/>
      <c r="Y39" s="4045"/>
      <c r="Z39" s="4045"/>
      <c r="AA39" s="4045"/>
      <c r="AB39" s="4045"/>
      <c r="AC39" s="4045"/>
      <c r="AD39" s="4045"/>
      <c r="AE39" s="4045"/>
      <c r="AF39" s="4045"/>
      <c r="AG39" s="4045"/>
      <c r="AH39" s="4045"/>
      <c r="AI39" s="4045"/>
      <c r="AJ39" s="4045"/>
      <c r="AK39" s="4045"/>
      <c r="AL39" s="4045"/>
      <c r="AM39" s="4045"/>
      <c r="AN39" s="4045"/>
      <c r="AO39" s="4045"/>
      <c r="AP39" s="4045"/>
      <c r="AQ39" s="4045"/>
      <c r="AR39" s="4045"/>
      <c r="AS39" s="4045"/>
      <c r="AT39" s="4045"/>
      <c r="AU39" s="4045"/>
      <c r="AV39" s="4045"/>
      <c r="AW39" s="4045"/>
      <c r="AX39" s="4045"/>
      <c r="AY39" s="4045"/>
      <c r="AZ39" s="4045"/>
      <c r="BA39" s="4045"/>
      <c r="BI39" s="1079">
        <v>14</v>
      </c>
    </row>
    <row r="40" spans="1:61" ht="14.65" customHeight="1">
      <c r="Q40" s="226"/>
      <c r="R40" s="310"/>
      <c r="S40" s="3889" t="s">
        <v>508</v>
      </c>
      <c r="T40" s="3889"/>
      <c r="U40" s="3889"/>
      <c r="V40" s="3889"/>
      <c r="W40" s="3889"/>
      <c r="X40" s="3889"/>
      <c r="Y40" s="3889"/>
      <c r="Z40" s="3889"/>
      <c r="AA40" s="3889"/>
      <c r="AB40" s="3889"/>
      <c r="AC40" s="3889"/>
      <c r="AD40" s="3889"/>
      <c r="AE40" s="3889"/>
      <c r="AF40" s="3889"/>
      <c r="AG40" s="3889"/>
      <c r="AH40" s="3889"/>
      <c r="AI40" s="3889"/>
      <c r="AJ40" s="3889"/>
      <c r="AK40" s="3889"/>
      <c r="AL40" s="3889"/>
      <c r="AM40" s="3889"/>
      <c r="AN40" s="3889"/>
      <c r="AO40" s="3889"/>
      <c r="AP40" s="3889"/>
      <c r="AQ40" s="3889"/>
      <c r="AR40" s="3889"/>
      <c r="AS40" s="3889"/>
      <c r="AT40" s="3889"/>
      <c r="AU40" s="3889"/>
      <c r="AV40" s="3889"/>
      <c r="AW40" s="3889"/>
      <c r="AX40" s="3889"/>
      <c r="AY40" s="3889"/>
      <c r="AZ40" s="3889"/>
      <c r="BA40" s="3889"/>
      <c r="BB40" s="3889"/>
      <c r="BC40" s="3889" t="s">
        <v>509</v>
      </c>
      <c r="BI40" s="1079">
        <v>14</v>
      </c>
    </row>
    <row r="41" spans="1:61" ht="14.65" customHeight="1">
      <c r="Q41" s="226"/>
      <c r="R41" s="310"/>
      <c r="S41" s="4046" t="s">
        <v>75</v>
      </c>
      <c r="T41" s="3995" t="s">
        <v>716</v>
      </c>
      <c r="U41" s="236"/>
      <c r="V41" s="4047" t="s">
        <v>634</v>
      </c>
      <c r="W41" s="4048"/>
      <c r="X41" s="4048"/>
      <c r="Y41" s="4048"/>
      <c r="Z41" s="4048"/>
      <c r="AA41" s="4048"/>
      <c r="AB41" s="4049"/>
      <c r="AC41" s="4050" t="s">
        <v>635</v>
      </c>
      <c r="AD41" s="4079" t="s">
        <v>717</v>
      </c>
      <c r="AE41" s="4063"/>
      <c r="AF41" s="4063"/>
      <c r="AG41" s="4080"/>
      <c r="AH41" s="4079" t="s">
        <v>718</v>
      </c>
      <c r="AI41" s="4063"/>
      <c r="AJ41" s="4063"/>
      <c r="AK41" s="4080"/>
      <c r="AL41" s="4079" t="s">
        <v>719</v>
      </c>
      <c r="AM41" s="4063"/>
      <c r="AN41" s="4063"/>
      <c r="AO41" s="4080"/>
      <c r="AP41" s="4079" t="s">
        <v>720</v>
      </c>
      <c r="AQ41" s="4063"/>
      <c r="AR41" s="4063"/>
      <c r="AS41" s="4080"/>
      <c r="AT41" s="4047" t="s">
        <v>634</v>
      </c>
      <c r="AU41" s="4048"/>
      <c r="AV41" s="4048"/>
      <c r="AW41" s="4048"/>
      <c r="AX41" s="4048"/>
      <c r="AY41" s="4048"/>
      <c r="AZ41" s="4049"/>
      <c r="BA41" s="4050" t="s">
        <v>635</v>
      </c>
      <c r="BB41" s="4053" t="s">
        <v>637</v>
      </c>
      <c r="BC41" s="3889"/>
      <c r="BI41" s="1079">
        <v>14</v>
      </c>
    </row>
    <row r="42" spans="1:61" ht="35.65" customHeight="1">
      <c r="Q42" s="226"/>
      <c r="R42" s="310"/>
      <c r="S42" s="4046"/>
      <c r="T42" s="3995"/>
      <c r="U42" s="958"/>
      <c r="V42" s="3968" t="s">
        <v>721</v>
      </c>
      <c r="W42" s="3969"/>
      <c r="X42" s="3968" t="s">
        <v>722</v>
      </c>
      <c r="Y42" s="3969"/>
      <c r="Z42" s="3968" t="s">
        <v>723</v>
      </c>
      <c r="AA42" s="4075"/>
      <c r="AB42" s="3969"/>
      <c r="AC42" s="4051"/>
      <c r="AD42" s="4081"/>
      <c r="AE42" s="4082"/>
      <c r="AF42" s="4082"/>
      <c r="AG42" s="4094"/>
      <c r="AH42" s="4081"/>
      <c r="AI42" s="4082"/>
      <c r="AJ42" s="4082"/>
      <c r="AK42" s="4094"/>
      <c r="AL42" s="4081"/>
      <c r="AM42" s="4082"/>
      <c r="AN42" s="4082"/>
      <c r="AO42" s="4094"/>
      <c r="AP42" s="4081"/>
      <c r="AQ42" s="4082"/>
      <c r="AR42" s="4082"/>
      <c r="AS42" s="4094"/>
      <c r="AT42" s="3968" t="s">
        <v>721</v>
      </c>
      <c r="AU42" s="3969"/>
      <c r="AV42" s="3968" t="s">
        <v>722</v>
      </c>
      <c r="AW42" s="3969"/>
      <c r="AX42" s="3968" t="s">
        <v>723</v>
      </c>
      <c r="AY42" s="4075"/>
      <c r="AZ42" s="3969"/>
      <c r="BA42" s="4051"/>
      <c r="BB42" s="4054"/>
      <c r="BC42" s="3889"/>
      <c r="BI42" s="1079">
        <v>34</v>
      </c>
    </row>
    <row r="43" spans="1:61" ht="14.65" customHeight="1">
      <c r="Q43" s="226"/>
      <c r="R43" s="310"/>
      <c r="S43" s="4046"/>
      <c r="T43" s="3995"/>
      <c r="U43" s="958"/>
      <c r="V43" s="3973"/>
      <c r="W43" s="3974"/>
      <c r="X43" s="3973"/>
      <c r="Y43" s="3974"/>
      <c r="Z43" s="3973"/>
      <c r="AA43" s="4076"/>
      <c r="AB43" s="3974"/>
      <c r="AC43" s="4051"/>
      <c r="AD43" s="4081"/>
      <c r="AE43" s="4082"/>
      <c r="AF43" s="4082"/>
      <c r="AG43" s="4094"/>
      <c r="AH43" s="4081"/>
      <c r="AI43" s="4082"/>
      <c r="AJ43" s="4082"/>
      <c r="AK43" s="4094"/>
      <c r="AL43" s="4081"/>
      <c r="AM43" s="4082"/>
      <c r="AN43" s="4082"/>
      <c r="AO43" s="4094"/>
      <c r="AP43" s="4081"/>
      <c r="AQ43" s="4082"/>
      <c r="AR43" s="4082"/>
      <c r="AS43" s="4094"/>
      <c r="AT43" s="3973"/>
      <c r="AU43" s="3974"/>
      <c r="AV43" s="3973"/>
      <c r="AW43" s="3974"/>
      <c r="AX43" s="3973"/>
      <c r="AY43" s="4076"/>
      <c r="AZ43" s="3974"/>
      <c r="BA43" s="4051"/>
      <c r="BB43" s="4054"/>
      <c r="BC43" s="3889"/>
      <c r="BI43" s="1079">
        <v>14</v>
      </c>
    </row>
    <row r="44" spans="1:61" ht="14.65" customHeight="1">
      <c r="A44" s="1294"/>
      <c r="B44" s="1294" t="s">
        <v>207</v>
      </c>
      <c r="C44" s="1294" t="s">
        <v>208</v>
      </c>
      <c r="D44" s="1294" t="s">
        <v>209</v>
      </c>
      <c r="E44" s="1288" t="s">
        <v>642</v>
      </c>
      <c r="F44" s="1288" t="s">
        <v>643</v>
      </c>
      <c r="G44" s="1288" t="s">
        <v>644</v>
      </c>
      <c r="H44" s="1288" t="s">
        <v>645</v>
      </c>
      <c r="I44" s="1288" t="s">
        <v>646</v>
      </c>
      <c r="J44" s="1288" t="s">
        <v>647</v>
      </c>
      <c r="K44" s="1288" t="s">
        <v>648</v>
      </c>
      <c r="L44" s="1288" t="s">
        <v>623</v>
      </c>
      <c r="Q44" s="226"/>
      <c r="R44" s="310"/>
      <c r="S44" s="4046"/>
      <c r="T44" s="3995"/>
      <c r="U44" s="237"/>
      <c r="V44" s="1372" t="s">
        <v>687</v>
      </c>
      <c r="W44" s="1372" t="s">
        <v>688</v>
      </c>
      <c r="X44" s="1372" t="s">
        <v>687</v>
      </c>
      <c r="Y44" s="1372" t="s">
        <v>688</v>
      </c>
      <c r="Z44" s="1379" t="s">
        <v>651</v>
      </c>
      <c r="AA44" s="4000" t="s">
        <v>652</v>
      </c>
      <c r="AB44" s="4013"/>
      <c r="AC44" s="4052"/>
      <c r="AD44" s="4083"/>
      <c r="AE44" s="4084"/>
      <c r="AF44" s="4084"/>
      <c r="AG44" s="4085"/>
      <c r="AH44" s="4083"/>
      <c r="AI44" s="4084"/>
      <c r="AJ44" s="4084"/>
      <c r="AK44" s="4085"/>
      <c r="AL44" s="4083"/>
      <c r="AM44" s="4084"/>
      <c r="AN44" s="4084"/>
      <c r="AO44" s="4085"/>
      <c r="AP44" s="4083"/>
      <c r="AQ44" s="4084"/>
      <c r="AR44" s="4084"/>
      <c r="AS44" s="4085"/>
      <c r="AT44" s="1372" t="s">
        <v>687</v>
      </c>
      <c r="AU44" s="1372" t="s">
        <v>688</v>
      </c>
      <c r="AV44" s="1372" t="s">
        <v>687</v>
      </c>
      <c r="AW44" s="1372" t="s">
        <v>688</v>
      </c>
      <c r="AX44" s="1379" t="s">
        <v>651</v>
      </c>
      <c r="AY44" s="4000" t="s">
        <v>652</v>
      </c>
      <c r="AZ44" s="4013"/>
      <c r="BA44" s="4052"/>
      <c r="BB44" s="4055"/>
      <c r="BC44" s="3889"/>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4"/>
      <c r="Q45" s="1178"/>
      <c r="R45" s="1178">
        <v>1</v>
      </c>
      <c r="S45" s="1201" t="s">
        <v>184</v>
      </c>
      <c r="T45" s="1179" t="s">
        <v>89</v>
      </c>
      <c r="U45" s="1169" t="str">
        <f ca="1">OFFSET(U45,0,-1)</f>
        <v>2</v>
      </c>
      <c r="V45" s="1375">
        <f t="shared" ref="V45:AA45" ca="1" si="2">OFFSET(V45,0,-1)+1</f>
        <v>3</v>
      </c>
      <c r="W45" s="1375">
        <f t="shared" ca="1" si="2"/>
        <v>4</v>
      </c>
      <c r="X45" s="1375">
        <f t="shared" ca="1" si="2"/>
        <v>5</v>
      </c>
      <c r="Y45" s="1375">
        <f t="shared" ca="1" si="2"/>
        <v>6</v>
      </c>
      <c r="Z45" s="1375">
        <f t="shared" ca="1" si="2"/>
        <v>7</v>
      </c>
      <c r="AA45" s="4044">
        <f t="shared" ca="1" si="2"/>
        <v>8</v>
      </c>
      <c r="AB45" s="4044"/>
      <c r="AC45" s="1375">
        <f ca="1">OFFSET(AC45,0,-2)+1</f>
        <v>9</v>
      </c>
      <c r="AD45" s="1375">
        <f ca="1">OFFSET(AD45,0,-1)+1</f>
        <v>10</v>
      </c>
      <c r="AE45" s="1375"/>
      <c r="AF45" s="1375"/>
      <c r="AG45" s="1375"/>
      <c r="AH45" s="1375"/>
      <c r="AI45" s="1375"/>
      <c r="AJ45" s="1375"/>
      <c r="AK45" s="1375"/>
      <c r="AL45" s="1375"/>
      <c r="AM45" s="1375"/>
      <c r="AN45" s="1375"/>
      <c r="AO45" s="1375"/>
      <c r="AP45" s="1375"/>
      <c r="AQ45" s="1375"/>
      <c r="AR45" s="1375"/>
      <c r="AS45" s="1375"/>
      <c r="AT45" s="1375"/>
      <c r="AU45" s="1375"/>
      <c r="AV45" s="1375"/>
      <c r="AW45" s="1375">
        <f ca="1">OFFSET(AW45,0,-1)+1</f>
        <v>1</v>
      </c>
      <c r="AX45" s="1375">
        <f ca="1">OFFSET(AX45,0,-1)+1</f>
        <v>2</v>
      </c>
      <c r="AY45" s="4044">
        <f ca="1">OFFSET(AY45,0,-1)+1</f>
        <v>3</v>
      </c>
      <c r="AZ45" s="4044"/>
      <c r="BA45" s="1375">
        <f ca="1">OFFSET(BA45,0,-2)+1</f>
        <v>4</v>
      </c>
      <c r="BB45" s="1169">
        <f ca="1">OFFSET(BB45,0,-1)</f>
        <v>4</v>
      </c>
      <c r="BC45" s="1375">
        <f ca="1">OFFSET(BC45,0,-1)+1</f>
        <v>5</v>
      </c>
      <c r="BD45" s="445"/>
      <c r="BE45" s="445"/>
      <c r="BF45" s="445"/>
      <c r="BG45" s="445"/>
      <c r="BH45" s="445"/>
      <c r="BI45" s="430">
        <v>0</v>
      </c>
    </row>
    <row r="46" spans="1:61" ht="21.95" customHeight="1">
      <c r="A46" s="1287" t="s">
        <v>454</v>
      </c>
      <c r="B46" s="1287"/>
      <c r="C46" s="1287"/>
      <c r="D46" s="1287"/>
      <c r="E46" s="4033">
        <v>1</v>
      </c>
      <c r="F46" s="1287"/>
      <c r="G46" s="1287"/>
      <c r="H46" s="1287"/>
      <c r="I46" s="1287"/>
      <c r="J46" s="1287"/>
      <c r="K46" s="1287"/>
      <c r="L46" s="1288"/>
      <c r="M46" s="1289"/>
      <c r="N46" s="1289"/>
      <c r="O46" s="1289"/>
      <c r="P46" s="1333"/>
      <c r="Q46" s="801"/>
      <c r="R46" s="289"/>
      <c r="S46" s="1381">
        <f>INDEX(PT_DIFFERENTIATION_NUM_NTAR,MATCH(A46,PT_DIFFERENTIATION_NTAR_ID,0))</f>
        <v>0</v>
      </c>
      <c r="T46" s="233" t="s">
        <v>195</v>
      </c>
      <c r="U46" s="235"/>
      <c r="V46" s="4028"/>
      <c r="W46" s="4028"/>
      <c r="X46" s="4028"/>
      <c r="Y46" s="4028"/>
      <c r="Z46" s="4028"/>
      <c r="AA46" s="4028"/>
      <c r="AB46" s="4028"/>
      <c r="AC46" s="4029"/>
      <c r="AD46" s="4027" t="str">
        <f>INDEX(PT_DIFFERENTIATION_NTAR,MATCH(A46,PT_DIFFERENTIATION_NTAR_ID,0))</f>
        <v/>
      </c>
      <c r="AE46" s="4028"/>
      <c r="AF46" s="4028"/>
      <c r="AG46" s="4028"/>
      <c r="AH46" s="4028"/>
      <c r="AI46" s="4028"/>
      <c r="AJ46" s="4028"/>
      <c r="AK46" s="4028"/>
      <c r="AL46" s="4028"/>
      <c r="AM46" s="4028"/>
      <c r="AN46" s="4028"/>
      <c r="AO46" s="4028"/>
      <c r="AP46" s="4028"/>
      <c r="AQ46" s="4028"/>
      <c r="AR46" s="4028"/>
      <c r="AS46" s="4028"/>
      <c r="AT46" s="4028"/>
      <c r="AU46" s="4028"/>
      <c r="AV46" s="4028"/>
      <c r="AW46" s="4028"/>
      <c r="AX46" s="4028"/>
      <c r="AY46" s="4028"/>
      <c r="AZ46" s="4028"/>
      <c r="BA46" s="4028"/>
      <c r="BB46" s="4029"/>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9">
        <v>21</v>
      </c>
    </row>
    <row r="47" spans="1:61" ht="21.95" customHeight="1">
      <c r="A47" s="1287" t="s">
        <v>454</v>
      </c>
      <c r="B47" s="1287" t="s">
        <v>455</v>
      </c>
      <c r="C47" s="1287"/>
      <c r="D47" s="1287"/>
      <c r="E47" s="4034"/>
      <c r="F47" s="4033">
        <v>1</v>
      </c>
      <c r="G47" s="1287"/>
      <c r="H47" s="1287"/>
      <c r="I47" s="1287"/>
      <c r="J47" s="1287"/>
      <c r="K47" s="1287"/>
      <c r="L47" s="1288"/>
      <c r="M47" s="1289"/>
      <c r="N47" s="1289"/>
      <c r="O47" s="1289"/>
      <c r="P47" s="1334"/>
      <c r="Q47" s="1335"/>
      <c r="R47" s="287"/>
      <c r="S47" s="1381" t="str">
        <f>INDEX(PT_DIFFERENTIATION_NUM_TER,MATCH(B47,PT_DIFFERENTIATION_TER_ID,0))</f>
        <v>.</v>
      </c>
      <c r="T47" s="243" t="s">
        <v>605</v>
      </c>
      <c r="U47" s="235"/>
      <c r="V47" s="4028"/>
      <c r="W47" s="4028"/>
      <c r="X47" s="4028"/>
      <c r="Y47" s="4028"/>
      <c r="Z47" s="4028"/>
      <c r="AA47" s="4028"/>
      <c r="AB47" s="4028"/>
      <c r="AC47" s="4029"/>
      <c r="AD47" s="4027" t="str">
        <f>INDEX(PT_DIFFERENTIATION_TER,MATCH(B47,PT_DIFFERENTIATION_TER_ID,0))</f>
        <v/>
      </c>
      <c r="AE47" s="4028"/>
      <c r="AF47" s="4028"/>
      <c r="AG47" s="4028"/>
      <c r="AH47" s="4028"/>
      <c r="AI47" s="4028"/>
      <c r="AJ47" s="4028"/>
      <c r="AK47" s="4028"/>
      <c r="AL47" s="4028"/>
      <c r="AM47" s="4028"/>
      <c r="AN47" s="4028"/>
      <c r="AO47" s="4028"/>
      <c r="AP47" s="4028"/>
      <c r="AQ47" s="4028"/>
      <c r="AR47" s="4028"/>
      <c r="AS47" s="4028"/>
      <c r="AT47" s="4028"/>
      <c r="AU47" s="4028"/>
      <c r="AV47" s="4028"/>
      <c r="AW47" s="4028"/>
      <c r="AX47" s="4028"/>
      <c r="AY47" s="4028"/>
      <c r="AZ47" s="4028"/>
      <c r="BA47" s="4028"/>
      <c r="BB47" s="4029"/>
      <c r="BC47" s="1182" t="s">
        <v>606</v>
      </c>
      <c r="BE47" s="434"/>
      <c r="BF47" s="434" t="str">
        <f t="shared" si="3"/>
        <v>Территория действия тарифа</v>
      </c>
      <c r="BG47" s="434"/>
      <c r="BH47" s="434"/>
      <c r="BI47" s="1079">
        <v>21</v>
      </c>
    </row>
    <row r="48" spans="1:61" ht="43.15" customHeight="1">
      <c r="A48" s="1287" t="s">
        <v>454</v>
      </c>
      <c r="B48" s="1287" t="s">
        <v>455</v>
      </c>
      <c r="C48" s="1287" t="s">
        <v>456</v>
      </c>
      <c r="D48" s="1287"/>
      <c r="E48" s="4034"/>
      <c r="F48" s="4034"/>
      <c r="G48" s="4033">
        <v>1</v>
      </c>
      <c r="H48" s="1287"/>
      <c r="I48" s="1287"/>
      <c r="J48" s="1287"/>
      <c r="K48" s="1287"/>
      <c r="L48" s="1288"/>
      <c r="M48" s="1289"/>
      <c r="N48" s="1289"/>
      <c r="O48" s="1289"/>
      <c r="P48" s="1336"/>
      <c r="Q48" s="1335"/>
      <c r="R48" s="287"/>
      <c r="S48" s="1381" t="str">
        <f>INDEX(PT_DIFFERENTIATION_NUM_CS,MATCH(C48,PT_DIFFERENTIATION_CS_ID,0))</f>
        <v>..</v>
      </c>
      <c r="T48" s="244" t="s">
        <v>690</v>
      </c>
      <c r="U48" s="235"/>
      <c r="V48" s="4028"/>
      <c r="W48" s="4028"/>
      <c r="X48" s="4028"/>
      <c r="Y48" s="4028"/>
      <c r="Z48" s="4028"/>
      <c r="AA48" s="4028"/>
      <c r="AB48" s="4028"/>
      <c r="AC48" s="4029"/>
      <c r="AD48" s="4027" t="str">
        <f>INDEX(PT_DIFFERENTIATION_CS,MATCH(C48,PT_DIFFERENTIATION_CS_ID,0))</f>
        <v/>
      </c>
      <c r="AE48" s="4028"/>
      <c r="AF48" s="4028"/>
      <c r="AG48" s="4028"/>
      <c r="AH48" s="4028"/>
      <c r="AI48" s="4028"/>
      <c r="AJ48" s="4028"/>
      <c r="AK48" s="4028"/>
      <c r="AL48" s="4028"/>
      <c r="AM48" s="4028"/>
      <c r="AN48" s="4028"/>
      <c r="AO48" s="4028"/>
      <c r="AP48" s="4028"/>
      <c r="AQ48" s="4028"/>
      <c r="AR48" s="4028"/>
      <c r="AS48" s="4028"/>
      <c r="AT48" s="4028"/>
      <c r="AU48" s="4028"/>
      <c r="AV48" s="4028"/>
      <c r="AW48" s="4028"/>
      <c r="AX48" s="4028"/>
      <c r="AY48" s="4028"/>
      <c r="AZ48" s="4028"/>
      <c r="BA48" s="4028"/>
      <c r="BB48" s="4029"/>
      <c r="BC48" s="1182" t="s">
        <v>691</v>
      </c>
      <c r="BE48" s="434"/>
      <c r="BF48" s="434" t="str">
        <f t="shared" si="3"/>
        <v>Наименование централизованной системы холодного водоснабжения</v>
      </c>
      <c r="BG48" s="434"/>
      <c r="BH48" s="434"/>
      <c r="BI48" s="1079">
        <v>41</v>
      </c>
    </row>
    <row r="49" spans="1:61" s="1566" customFormat="1" ht="0" hidden="1" customHeight="1">
      <c r="A49" s="1267" t="s">
        <v>454</v>
      </c>
      <c r="B49" s="1267" t="s">
        <v>455</v>
      </c>
      <c r="C49" s="1267" t="s">
        <v>456</v>
      </c>
      <c r="D49" s="1267" t="s">
        <v>724</v>
      </c>
      <c r="E49" s="4034"/>
      <c r="F49" s="4034"/>
      <c r="G49" s="4034"/>
      <c r="H49" s="4033">
        <v>1</v>
      </c>
      <c r="I49" s="1267"/>
      <c r="J49" s="1267"/>
      <c r="K49" s="1267"/>
      <c r="L49" s="1270"/>
      <c r="M49" s="1239"/>
      <c r="N49" s="1239"/>
      <c r="O49" s="1239"/>
      <c r="P49" s="1421"/>
      <c r="Q49" s="1422"/>
      <c r="R49" s="291"/>
      <c r="S49" s="969"/>
      <c r="T49" s="1423"/>
      <c r="U49" s="1308"/>
      <c r="V49" s="4065"/>
      <c r="W49" s="4065"/>
      <c r="X49" s="4065"/>
      <c r="Y49" s="4065"/>
      <c r="Z49" s="4065"/>
      <c r="AA49" s="4065"/>
      <c r="AB49" s="4065"/>
      <c r="AC49" s="4066"/>
      <c r="AD49" s="4064"/>
      <c r="AE49" s="4065"/>
      <c r="AF49" s="4065"/>
      <c r="AG49" s="4065"/>
      <c r="AH49" s="4065"/>
      <c r="AI49" s="4065"/>
      <c r="AJ49" s="4065"/>
      <c r="AK49" s="4065"/>
      <c r="AL49" s="4065"/>
      <c r="AM49" s="4065"/>
      <c r="AN49" s="4065"/>
      <c r="AO49" s="4065"/>
      <c r="AP49" s="4065"/>
      <c r="AQ49" s="4065"/>
      <c r="AR49" s="4065"/>
      <c r="AS49" s="4065"/>
      <c r="AT49" s="4065"/>
      <c r="AU49" s="4065"/>
      <c r="AV49" s="4065"/>
      <c r="AW49" s="4065"/>
      <c r="AX49" s="4065"/>
      <c r="AY49" s="4065"/>
      <c r="AZ49" s="4065"/>
      <c r="BA49" s="4065"/>
      <c r="BB49" s="4066"/>
      <c r="BC49" s="1309" t="s">
        <v>610</v>
      </c>
      <c r="BE49" s="434"/>
      <c r="BF49" s="434" t="str">
        <f t="shared" si="3"/>
        <v/>
      </c>
      <c r="BG49" s="434"/>
      <c r="BH49" s="434"/>
      <c r="BI49" s="445">
        <v>0</v>
      </c>
    </row>
    <row r="50" spans="1:61" s="1566" customFormat="1" ht="0" hidden="1" customHeight="1">
      <c r="A50" s="1267" t="s">
        <v>454</v>
      </c>
      <c r="B50" s="1267" t="s">
        <v>455</v>
      </c>
      <c r="C50" s="1267" t="s">
        <v>456</v>
      </c>
      <c r="D50" s="1267" t="s">
        <v>724</v>
      </c>
      <c r="E50" s="4034"/>
      <c r="F50" s="4034"/>
      <c r="G50" s="4034"/>
      <c r="H50" s="4034"/>
      <c r="I50" s="4035" t="str">
        <f>S49&amp;".1"</f>
        <v>.1</v>
      </c>
      <c r="J50" s="1267"/>
      <c r="K50" s="1267"/>
      <c r="L50" s="1270" t="s">
        <v>611</v>
      </c>
      <c r="M50" s="444"/>
      <c r="N50" s="444"/>
      <c r="O50" s="444"/>
      <c r="P50" s="4037">
        <v>1</v>
      </c>
      <c r="Q50" s="1386"/>
      <c r="R50" s="290"/>
      <c r="S50" s="969"/>
      <c r="T50" s="1307"/>
      <c r="U50" s="1308"/>
      <c r="V50" s="4065"/>
      <c r="W50" s="4065"/>
      <c r="X50" s="4065"/>
      <c r="Y50" s="4065"/>
      <c r="Z50" s="4065"/>
      <c r="AA50" s="4065"/>
      <c r="AB50" s="4065"/>
      <c r="AC50" s="4066"/>
      <c r="AD50" s="4064"/>
      <c r="AE50" s="4065"/>
      <c r="AF50" s="4065"/>
      <c r="AG50" s="4065"/>
      <c r="AH50" s="4065"/>
      <c r="AI50" s="4065"/>
      <c r="AJ50" s="4065"/>
      <c r="AK50" s="4065"/>
      <c r="AL50" s="4065"/>
      <c r="AM50" s="4065"/>
      <c r="AN50" s="4065"/>
      <c r="AO50" s="4065"/>
      <c r="AP50" s="4065"/>
      <c r="AQ50" s="4065"/>
      <c r="AR50" s="4065"/>
      <c r="AS50" s="4065"/>
      <c r="AT50" s="4065"/>
      <c r="AU50" s="4065"/>
      <c r="AV50" s="4065"/>
      <c r="AW50" s="4065"/>
      <c r="AX50" s="4065"/>
      <c r="AY50" s="4065"/>
      <c r="AZ50" s="4065"/>
      <c r="BA50" s="4065"/>
      <c r="BB50" s="4066"/>
      <c r="BC50" s="1309"/>
      <c r="BE50" s="434"/>
      <c r="BF50" s="434" t="str">
        <f t="shared" si="3"/>
        <v/>
      </c>
      <c r="BG50" s="434"/>
      <c r="BH50" s="434"/>
      <c r="BI50" s="445">
        <v>0</v>
      </c>
    </row>
    <row r="51" spans="1:61" s="1566" customFormat="1" ht="0" hidden="1" customHeight="1">
      <c r="A51" s="1267" t="s">
        <v>454</v>
      </c>
      <c r="B51" s="1267" t="s">
        <v>455</v>
      </c>
      <c r="C51" s="1267" t="s">
        <v>456</v>
      </c>
      <c r="D51" s="1267" t="s">
        <v>724</v>
      </c>
      <c r="E51" s="4034"/>
      <c r="F51" s="4034"/>
      <c r="G51" s="4034"/>
      <c r="H51" s="4034"/>
      <c r="I51" s="4036"/>
      <c r="J51" s="4035" t="str">
        <f>S49&amp;".1"</f>
        <v>.1</v>
      </c>
      <c r="K51" s="1267"/>
      <c r="L51" s="1270"/>
      <c r="M51" s="444"/>
      <c r="N51" s="444"/>
      <c r="O51" s="444"/>
      <c r="P51" s="4037"/>
      <c r="Q51" s="4037">
        <v>1</v>
      </c>
      <c r="R51" s="291"/>
      <c r="S51" s="969"/>
      <c r="T51" s="1323"/>
      <c r="U51" s="1308"/>
      <c r="V51" s="4065"/>
      <c r="W51" s="4065"/>
      <c r="X51" s="4065"/>
      <c r="Y51" s="4065"/>
      <c r="Z51" s="4065"/>
      <c r="AA51" s="4065"/>
      <c r="AB51" s="4065"/>
      <c r="AC51" s="4066"/>
      <c r="AD51" s="4064"/>
      <c r="AE51" s="4065"/>
      <c r="AF51" s="4065"/>
      <c r="AG51" s="4065"/>
      <c r="AH51" s="4065"/>
      <c r="AI51" s="4065"/>
      <c r="AJ51" s="4065"/>
      <c r="AK51" s="4065"/>
      <c r="AL51" s="4065"/>
      <c r="AM51" s="4065"/>
      <c r="AN51" s="4116"/>
      <c r="AO51" s="4116"/>
      <c r="AP51" s="4065"/>
      <c r="AQ51" s="4065"/>
      <c r="AR51" s="4065"/>
      <c r="AS51" s="4065"/>
      <c r="AT51" s="4065"/>
      <c r="AU51" s="4065"/>
      <c r="AV51" s="4065"/>
      <c r="AW51" s="4065"/>
      <c r="AX51" s="4065"/>
      <c r="AY51" s="4065"/>
      <c r="AZ51" s="4065"/>
      <c r="BA51" s="4065"/>
      <c r="BB51" s="4066"/>
      <c r="BC51" s="1309"/>
      <c r="BE51" s="434"/>
      <c r="BF51" s="434" t="str">
        <f t="shared" si="3"/>
        <v/>
      </c>
      <c r="BG51" s="434"/>
      <c r="BH51" s="434"/>
      <c r="BI51" s="445">
        <v>0</v>
      </c>
    </row>
    <row r="52" spans="1:61" ht="11.45" customHeight="1">
      <c r="A52" s="1287" t="s">
        <v>454</v>
      </c>
      <c r="B52" s="1287" t="s">
        <v>455</v>
      </c>
      <c r="C52" s="1287" t="s">
        <v>456</v>
      </c>
      <c r="D52" s="1287" t="s">
        <v>724</v>
      </c>
      <c r="E52" s="4034"/>
      <c r="F52" s="4034"/>
      <c r="G52" s="4034"/>
      <c r="H52" s="4034"/>
      <c r="I52" s="4036"/>
      <c r="J52" s="4036"/>
      <c r="K52" s="4035" t="str">
        <f>S48&amp;".1"</f>
        <v>...1</v>
      </c>
      <c r="L52" s="1288"/>
      <c r="P52" s="4037"/>
      <c r="Q52" s="4037"/>
      <c r="R52" s="291">
        <v>1</v>
      </c>
      <c r="S52" s="4090" t="str">
        <f>$K52</f>
        <v>...1</v>
      </c>
      <c r="T52" s="4110"/>
      <c r="U52" s="235"/>
      <c r="V52" s="685"/>
      <c r="W52" s="1181"/>
      <c r="X52" s="685"/>
      <c r="Y52" s="1181"/>
      <c r="Z52" s="1630"/>
      <c r="AA52" s="1383" t="s">
        <v>53</v>
      </c>
      <c r="AB52" s="1630"/>
      <c r="AC52" s="1383" t="s">
        <v>53</v>
      </c>
      <c r="AD52" s="3952" t="s">
        <v>53</v>
      </c>
      <c r="AE52" s="4086"/>
      <c r="AF52" s="3991">
        <v>1</v>
      </c>
      <c r="AG52" s="4109"/>
      <c r="AH52" s="3899" t="s">
        <v>53</v>
      </c>
      <c r="AI52" s="4086"/>
      <c r="AJ52" s="3991">
        <v>1</v>
      </c>
      <c r="AK52" s="4100" t="s">
        <v>15</v>
      </c>
      <c r="AL52" s="3899" t="s">
        <v>53</v>
      </c>
      <c r="AM52" s="3968"/>
      <c r="AN52" s="3991">
        <v>1</v>
      </c>
      <c r="AO52" s="4113"/>
      <c r="AP52" s="4114" t="s">
        <v>53</v>
      </c>
      <c r="AQ52" s="246"/>
      <c r="AR52" s="1387">
        <v>1</v>
      </c>
      <c r="AS52" s="1390" t="s">
        <v>15</v>
      </c>
      <c r="AT52" s="685"/>
      <c r="AU52" s="1181"/>
      <c r="AV52" s="685"/>
      <c r="AW52" s="1181"/>
      <c r="AX52" s="1630"/>
      <c r="AY52" s="1383" t="s">
        <v>53</v>
      </c>
      <c r="AZ52" s="1630"/>
      <c r="BA52" s="1383" t="s">
        <v>53</v>
      </c>
      <c r="BB52" s="1272"/>
      <c r="BC52" s="4056" t="s">
        <v>710</v>
      </c>
      <c r="BE52" s="434"/>
      <c r="BF52" s="434" t="str">
        <f t="shared" si="3"/>
        <v/>
      </c>
      <c r="BG52" s="434"/>
      <c r="BH52" s="434"/>
      <c r="BI52" s="1079">
        <v>11</v>
      </c>
    </row>
    <row r="53" spans="1:61" ht="11.45" customHeight="1">
      <c r="A53" s="1287"/>
      <c r="B53" s="1287"/>
      <c r="C53" s="1287"/>
      <c r="D53" s="1287"/>
      <c r="E53" s="4034"/>
      <c r="F53" s="4034"/>
      <c r="G53" s="4034"/>
      <c r="H53" s="4034"/>
      <c r="I53" s="4036"/>
      <c r="J53" s="4036"/>
      <c r="K53" s="4035"/>
      <c r="L53" s="1288"/>
      <c r="P53" s="4037"/>
      <c r="Q53" s="4037"/>
      <c r="R53" s="291"/>
      <c r="S53" s="4091"/>
      <c r="T53" s="4111"/>
      <c r="U53" s="235"/>
      <c r="V53" s="1317"/>
      <c r="W53" s="1420"/>
      <c r="X53" s="1317"/>
      <c r="Y53" s="1420"/>
      <c r="Z53" s="1317"/>
      <c r="AA53" s="1317"/>
      <c r="AB53" s="1317"/>
      <c r="AC53" s="1317"/>
      <c r="AD53" s="3953"/>
      <c r="AE53" s="4086"/>
      <c r="AF53" s="3991"/>
      <c r="AG53" s="4109"/>
      <c r="AH53" s="3899"/>
      <c r="AI53" s="4086"/>
      <c r="AJ53" s="3991"/>
      <c r="AK53" s="4100"/>
      <c r="AL53" s="3899"/>
      <c r="AM53" s="3973"/>
      <c r="AN53" s="3991"/>
      <c r="AO53" s="4113"/>
      <c r="AP53" s="4115"/>
      <c r="AQ53" s="251"/>
      <c r="AR53" s="350"/>
      <c r="AS53" s="350" t="s">
        <v>711</v>
      </c>
      <c r="AT53" s="1317"/>
      <c r="AU53" s="1420"/>
      <c r="AV53" s="1317"/>
      <c r="AW53" s="1420"/>
      <c r="AX53" s="1317"/>
      <c r="AY53" s="1317"/>
      <c r="AZ53" s="1317"/>
      <c r="BA53" s="1317"/>
      <c r="BB53" s="1321"/>
      <c r="BC53" s="4057"/>
      <c r="BE53" s="434"/>
      <c r="BF53" s="434"/>
      <c r="BG53" s="434"/>
      <c r="BH53" s="434"/>
      <c r="BI53" s="1079">
        <v>11</v>
      </c>
    </row>
    <row r="54" spans="1:61" ht="11.45" customHeight="1">
      <c r="A54" s="1287" t="s">
        <v>454</v>
      </c>
      <c r="B54" s="1287"/>
      <c r="C54" s="1287"/>
      <c r="D54" s="1287"/>
      <c r="E54" s="4034"/>
      <c r="F54" s="4034"/>
      <c r="G54" s="4034"/>
      <c r="H54" s="4034"/>
      <c r="I54" s="4036"/>
      <c r="J54" s="4036"/>
      <c r="K54" s="4035"/>
      <c r="L54" s="1288"/>
      <c r="P54" s="4037"/>
      <c r="Q54" s="4037"/>
      <c r="R54" s="291"/>
      <c r="S54" s="4091"/>
      <c r="T54" s="4111"/>
      <c r="U54" s="235"/>
      <c r="V54" s="1317"/>
      <c r="W54" s="1420"/>
      <c r="X54" s="1317"/>
      <c r="Y54" s="1420"/>
      <c r="Z54" s="1317"/>
      <c r="AA54" s="1317"/>
      <c r="AB54" s="1317"/>
      <c r="AC54" s="1317"/>
      <c r="AD54" s="3953"/>
      <c r="AE54" s="4086"/>
      <c r="AF54" s="3991"/>
      <c r="AG54" s="4109"/>
      <c r="AH54" s="3899"/>
      <c r="AI54" s="4086"/>
      <c r="AJ54" s="3991"/>
      <c r="AK54" s="4100"/>
      <c r="AL54" s="3899"/>
      <c r="AM54" s="251"/>
      <c r="AN54" s="1424"/>
      <c r="AO54" s="1424" t="s">
        <v>712</v>
      </c>
      <c r="AP54" s="350"/>
      <c r="AQ54" s="350"/>
      <c r="AR54" s="350"/>
      <c r="AS54" s="1317"/>
      <c r="AT54" s="1317"/>
      <c r="AU54" s="1420"/>
      <c r="AV54" s="1317"/>
      <c r="AW54" s="1420"/>
      <c r="AX54" s="1317"/>
      <c r="AY54" s="1317"/>
      <c r="AZ54" s="1317"/>
      <c r="BA54" s="1317"/>
      <c r="BB54" s="1321"/>
      <c r="BC54" s="4057"/>
      <c r="BE54" s="434"/>
      <c r="BF54" s="434"/>
      <c r="BG54" s="434"/>
      <c r="BH54" s="434"/>
      <c r="BI54" s="1079">
        <v>11</v>
      </c>
    </row>
    <row r="55" spans="1:61" ht="11.45" customHeight="1">
      <c r="A55" s="1287" t="s">
        <v>454</v>
      </c>
      <c r="B55" s="1287"/>
      <c r="C55" s="1287"/>
      <c r="D55" s="1287"/>
      <c r="E55" s="4034"/>
      <c r="F55" s="4034"/>
      <c r="G55" s="4034"/>
      <c r="H55" s="4034"/>
      <c r="I55" s="4036"/>
      <c r="J55" s="4036"/>
      <c r="K55" s="4035"/>
      <c r="L55" s="1288"/>
      <c r="P55" s="4037"/>
      <c r="Q55" s="4037"/>
      <c r="R55" s="291"/>
      <c r="S55" s="4091"/>
      <c r="T55" s="4111"/>
      <c r="U55" s="235"/>
      <c r="V55" s="1317"/>
      <c r="W55" s="1420"/>
      <c r="X55" s="1317"/>
      <c r="Y55" s="1420"/>
      <c r="Z55" s="1317"/>
      <c r="AA55" s="1317"/>
      <c r="AB55" s="1317"/>
      <c r="AC55" s="1317"/>
      <c r="AD55" s="3953"/>
      <c r="AE55" s="4086"/>
      <c r="AF55" s="3991"/>
      <c r="AG55" s="4109"/>
      <c r="AH55" s="3899"/>
      <c r="AI55" s="229"/>
      <c r="AJ55" s="349"/>
      <c r="AK55" s="248" t="s">
        <v>713</v>
      </c>
      <c r="AL55" s="1317"/>
      <c r="AM55" s="1317"/>
      <c r="AN55" s="1317"/>
      <c r="AO55" s="1317"/>
      <c r="AP55" s="1317"/>
      <c r="AQ55" s="1317"/>
      <c r="AR55" s="1317"/>
      <c r="AS55" s="1317"/>
      <c r="AT55" s="1317"/>
      <c r="AU55" s="1420"/>
      <c r="AV55" s="1317"/>
      <c r="AW55" s="1420"/>
      <c r="AX55" s="1317"/>
      <c r="AY55" s="1317"/>
      <c r="AZ55" s="1317"/>
      <c r="BA55" s="1317"/>
      <c r="BB55" s="1321"/>
      <c r="BC55" s="4057"/>
      <c r="BE55" s="434"/>
      <c r="BF55" s="434"/>
      <c r="BG55" s="434"/>
      <c r="BH55" s="434"/>
      <c r="BI55" s="1079">
        <v>11</v>
      </c>
    </row>
    <row r="56" spans="1:61" ht="11.45" customHeight="1">
      <c r="A56" s="1287" t="s">
        <v>454</v>
      </c>
      <c r="B56" s="1287" t="s">
        <v>455</v>
      </c>
      <c r="C56" s="1287" t="s">
        <v>456</v>
      </c>
      <c r="D56" s="1287" t="s">
        <v>724</v>
      </c>
      <c r="E56" s="4034"/>
      <c r="F56" s="4034"/>
      <c r="G56" s="4034"/>
      <c r="H56" s="4034"/>
      <c r="I56" s="4036"/>
      <c r="J56" s="4036"/>
      <c r="K56" s="4035"/>
      <c r="L56" s="1288"/>
      <c r="P56" s="4037"/>
      <c r="Q56" s="4037"/>
      <c r="R56" s="291"/>
      <c r="S56" s="4092"/>
      <c r="T56" s="4112"/>
      <c r="U56" s="235"/>
      <c r="V56" s="1317"/>
      <c r="W56" s="1318" t="str">
        <f>Z52&amp;"-"&amp;AB52</f>
        <v>-</v>
      </c>
      <c r="X56" s="1317"/>
      <c r="Y56" s="1318" t="str">
        <f>AB52&amp;"-"&amp;AD52</f>
        <v>-да</v>
      </c>
      <c r="Z56" s="1317"/>
      <c r="AA56" s="1317"/>
      <c r="AB56" s="1317"/>
      <c r="AC56" s="1317"/>
      <c r="AD56" s="3904"/>
      <c r="AE56" s="247"/>
      <c r="AF56" s="249"/>
      <c r="AG56" s="350" t="s">
        <v>714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4057"/>
      <c r="BE56" s="434"/>
      <c r="BF56" s="434" t="str">
        <f t="shared" ref="BF56:BF63" si="4">IF(T56="","",T56)</f>
        <v/>
      </c>
      <c r="BG56" s="434"/>
      <c r="BH56" s="434"/>
      <c r="BI56" s="1079">
        <v>11</v>
      </c>
    </row>
    <row r="57" spans="1:61" ht="11.45" customHeight="1">
      <c r="A57" s="1287" t="s">
        <v>454</v>
      </c>
      <c r="B57" s="1287" t="s">
        <v>455</v>
      </c>
      <c r="C57" s="1287" t="s">
        <v>456</v>
      </c>
      <c r="D57" s="1287" t="s">
        <v>724</v>
      </c>
      <c r="E57" s="4034"/>
      <c r="F57" s="4034"/>
      <c r="G57" s="4034"/>
      <c r="H57" s="4034"/>
      <c r="I57" s="4036"/>
      <c r="J57" s="4035"/>
      <c r="K57" s="1287"/>
      <c r="L57" s="1288"/>
      <c r="P57" s="4037"/>
      <c r="Q57" s="4037"/>
      <c r="R57" s="290"/>
      <c r="S57" s="1202"/>
      <c r="T57" s="222" t="s">
        <v>677</v>
      </c>
      <c r="U57" s="301"/>
      <c r="V57" s="301"/>
      <c r="W57" s="301"/>
      <c r="X57" s="301"/>
      <c r="Y57" s="301"/>
      <c r="Z57" s="301"/>
      <c r="AA57" s="301"/>
      <c r="AB57" s="301"/>
      <c r="AC57" s="259"/>
      <c r="AD57" s="1429"/>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4058"/>
      <c r="BE57" s="434"/>
      <c r="BF57" s="434" t="str">
        <f t="shared" si="4"/>
        <v>Добавить строку</v>
      </c>
      <c r="BG57" s="434"/>
      <c r="BH57" s="434"/>
      <c r="BI57" s="1079">
        <v>11</v>
      </c>
    </row>
    <row r="58" spans="1:61" s="1566" customFormat="1" ht="0" hidden="1" customHeight="1">
      <c r="A58" s="1267" t="s">
        <v>454</v>
      </c>
      <c r="B58" s="1267" t="s">
        <v>455</v>
      </c>
      <c r="C58" s="1267" t="s">
        <v>456</v>
      </c>
      <c r="D58" s="1267" t="s">
        <v>724</v>
      </c>
      <c r="E58" s="4034"/>
      <c r="F58" s="4034"/>
      <c r="G58" s="4034"/>
      <c r="H58" s="4034"/>
      <c r="I58" s="4035"/>
      <c r="J58" s="1267"/>
      <c r="K58" s="1267"/>
      <c r="L58" s="1270"/>
      <c r="M58" s="444"/>
      <c r="N58" s="444"/>
      <c r="O58" s="444"/>
      <c r="P58" s="4037"/>
      <c r="Q58" s="1386"/>
      <c r="R58" s="290"/>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4"/>
      <c r="BF58" s="434" t="str">
        <f t="shared" si="4"/>
        <v/>
      </c>
      <c r="BG58" s="434"/>
      <c r="BH58" s="434"/>
      <c r="BI58" s="445">
        <v>0</v>
      </c>
    </row>
    <row r="59" spans="1:61" s="1566" customFormat="1" ht="0" hidden="1" customHeight="1">
      <c r="A59" s="1267" t="s">
        <v>454</v>
      </c>
      <c r="B59" s="1267" t="s">
        <v>455</v>
      </c>
      <c r="C59" s="1267" t="s">
        <v>456</v>
      </c>
      <c r="D59" s="1267" t="s">
        <v>724</v>
      </c>
      <c r="E59" s="4034"/>
      <c r="F59" s="4034"/>
      <c r="G59" s="4034"/>
      <c r="H59" s="4033"/>
      <c r="I59" s="1267"/>
      <c r="J59" s="1267"/>
      <c r="K59" s="1267"/>
      <c r="L59" s="1270"/>
      <c r="M59" s="1239"/>
      <c r="N59" s="1239"/>
      <c r="O59" s="452"/>
      <c r="P59" s="314"/>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4"/>
      <c r="BF59" s="434" t="str">
        <f t="shared" si="4"/>
        <v/>
      </c>
      <c r="BG59" s="434"/>
      <c r="BH59" s="434"/>
      <c r="BI59" s="445">
        <v>0</v>
      </c>
    </row>
    <row r="60" spans="1:61" s="1566" customFormat="1" ht="0" hidden="1" customHeight="1">
      <c r="A60" s="1267" t="s">
        <v>454</v>
      </c>
      <c r="B60" s="1267" t="s">
        <v>455</v>
      </c>
      <c r="C60" s="1267" t="s">
        <v>456</v>
      </c>
      <c r="D60" s="1238"/>
      <c r="E60" s="4034"/>
      <c r="F60" s="4034"/>
      <c r="G60" s="4033"/>
      <c r="H60" s="1238"/>
      <c r="I60" s="1238"/>
      <c r="J60" s="1238"/>
      <c r="K60" s="1238"/>
      <c r="L60" s="138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7"/>
      <c r="BF60" s="717" t="str">
        <f t="shared" si="4"/>
        <v/>
      </c>
      <c r="BG60" s="717"/>
      <c r="BH60" s="717"/>
      <c r="BI60" s="452">
        <v>0</v>
      </c>
    </row>
    <row r="61" spans="1:61" s="1566" customFormat="1" ht="0" hidden="1" customHeight="1">
      <c r="A61" s="1267" t="s">
        <v>454</v>
      </c>
      <c r="B61" s="1267" t="s">
        <v>455</v>
      </c>
      <c r="C61" s="1238"/>
      <c r="D61" s="1238"/>
      <c r="E61" s="4034"/>
      <c r="F61" s="4033"/>
      <c r="G61" s="1238"/>
      <c r="H61" s="1238"/>
      <c r="I61" s="1238"/>
      <c r="J61" s="1238"/>
      <c r="K61" s="1238"/>
      <c r="L61" s="1388"/>
      <c r="M61" s="1245"/>
      <c r="N61" s="1245"/>
      <c r="P61" s="1240"/>
      <c r="Q61" s="1241"/>
      <c r="R61" s="1240"/>
      <c r="S61" s="1246"/>
      <c r="T61" s="1249" t="s">
        <v>236</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7"/>
      <c r="BF61" s="717" t="str">
        <f t="shared" si="4"/>
        <v>Добавить централизованную систему для дифференциации</v>
      </c>
      <c r="BG61" s="717"/>
      <c r="BH61" s="717"/>
      <c r="BI61" s="452">
        <v>0</v>
      </c>
    </row>
    <row r="62" spans="1:61" s="1566" customFormat="1" ht="0" hidden="1" customHeight="1">
      <c r="A62" s="1267" t="s">
        <v>454</v>
      </c>
      <c r="B62" s="1267"/>
      <c r="C62" s="1267"/>
      <c r="D62" s="1267"/>
      <c r="E62" s="4033"/>
      <c r="F62" s="1267"/>
      <c r="G62" s="1267"/>
      <c r="H62" s="1267"/>
      <c r="I62" s="1267"/>
      <c r="J62" s="1267"/>
      <c r="K62" s="1267"/>
      <c r="L62" s="1270"/>
      <c r="M62" s="1245"/>
      <c r="N62" s="1245"/>
      <c r="O62" s="452"/>
      <c r="P62" s="314"/>
      <c r="Q62" s="1268"/>
      <c r="R62" s="314"/>
      <c r="S62" s="1246"/>
      <c r="T62" s="1249" t="s">
        <v>286</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4"/>
      <c r="BF62" s="434" t="str">
        <f t="shared" si="4"/>
        <v>Добавить территорию для дифференциации</v>
      </c>
      <c r="BG62" s="434"/>
      <c r="BH62" s="434"/>
      <c r="BI62" s="445">
        <v>0</v>
      </c>
    </row>
    <row r="63" spans="1:61" s="1566" customFormat="1" ht="0" hidden="1" customHeight="1">
      <c r="A63" s="1238"/>
      <c r="B63" s="1238"/>
      <c r="C63" s="1238"/>
      <c r="D63" s="1238"/>
      <c r="E63" s="1267"/>
      <c r="F63" s="1238"/>
      <c r="G63" s="1238"/>
      <c r="H63" s="1238"/>
      <c r="I63" s="1238"/>
      <c r="J63" s="1238"/>
      <c r="K63" s="1238"/>
      <c r="L63" s="1388"/>
      <c r="M63" s="1245"/>
      <c r="N63" s="1245"/>
      <c r="P63" s="1240"/>
      <c r="Q63" s="1241"/>
      <c r="R63" s="1240"/>
      <c r="S63" s="1246"/>
      <c r="T63" s="1249" t="s">
        <v>287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7"/>
      <c r="BF63" s="717" t="str">
        <f t="shared" si="4"/>
        <v>Добавить наименование тарифа</v>
      </c>
      <c r="BG63" s="717"/>
      <c r="BH63" s="717"/>
      <c r="BI63" s="452">
        <v>0</v>
      </c>
    </row>
    <row r="64" spans="1:61" ht="11.45" customHeight="1">
      <c r="M64" s="1084"/>
      <c r="N64" s="1084"/>
      <c r="O64" s="471"/>
      <c r="P64" s="1084"/>
      <c r="Q64" s="1084"/>
      <c r="R64" s="1079"/>
      <c r="S64" s="1079"/>
      <c r="BD64" s="1079"/>
      <c r="BE64" s="1079"/>
      <c r="BF64" s="1079"/>
      <c r="BG64" s="1079"/>
      <c r="BH64" s="1079"/>
      <c r="BI64" s="1079">
        <v>11</v>
      </c>
    </row>
    <row r="65" spans="1:61" ht="19.899999999999999" customHeight="1">
      <c r="O65" s="471"/>
      <c r="S65" s="1177"/>
      <c r="T65" s="4032"/>
      <c r="U65" s="4032"/>
      <c r="V65" s="4032"/>
      <c r="W65" s="4032"/>
      <c r="X65" s="4032"/>
      <c r="Y65" s="4032"/>
      <c r="Z65" s="4032"/>
      <c r="AA65" s="4032"/>
      <c r="AB65" s="4032"/>
      <c r="AC65" s="4032"/>
      <c r="AD65" s="4032"/>
      <c r="AE65" s="4032"/>
      <c r="AF65" s="4032"/>
      <c r="AG65" s="4032"/>
      <c r="AH65" s="4032"/>
      <c r="AI65" s="4032"/>
      <c r="AJ65" s="4032"/>
      <c r="AK65" s="4032"/>
      <c r="AL65" s="4032"/>
      <c r="AM65" s="4032"/>
      <c r="AN65" s="4032"/>
      <c r="AO65" s="4032"/>
      <c r="AP65" s="4032"/>
      <c r="AQ65" s="4032"/>
      <c r="AR65" s="4032"/>
      <c r="AS65" s="4032"/>
      <c r="AT65" s="4032"/>
      <c r="AU65" s="4032"/>
      <c r="AV65" s="4032"/>
      <c r="AW65" s="4032"/>
      <c r="AX65" s="4032"/>
      <c r="AY65" s="4032"/>
      <c r="AZ65" s="4032"/>
      <c r="BA65" s="4032"/>
      <c r="BB65" s="4032"/>
      <c r="BC65" s="4032"/>
      <c r="BI65" s="1079">
        <v>19</v>
      </c>
    </row>
    <row r="66" spans="1:61" ht="14.65" customHeight="1">
      <c r="O66" s="471"/>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I66" s="1079">
        <v>14</v>
      </c>
    </row>
    <row r="67" spans="1:61" ht="19.899999999999999" customHeight="1">
      <c r="O67" s="471"/>
      <c r="S67" s="1177"/>
      <c r="T67" s="4032"/>
      <c r="U67" s="4032"/>
      <c r="V67" s="4032"/>
      <c r="W67" s="4032"/>
      <c r="X67" s="4032"/>
      <c r="Y67" s="4032"/>
      <c r="Z67" s="4032"/>
      <c r="AA67" s="4032"/>
      <c r="AB67" s="4032"/>
      <c r="AC67" s="4032"/>
      <c r="AD67" s="4032"/>
      <c r="AE67" s="4032"/>
      <c r="AF67" s="4032"/>
      <c r="AG67" s="4032"/>
      <c r="AH67" s="4032"/>
      <c r="AI67" s="4032"/>
      <c r="AJ67" s="4032"/>
      <c r="AK67" s="4032"/>
      <c r="AL67" s="4032"/>
      <c r="AM67" s="4032"/>
      <c r="AN67" s="4032"/>
      <c r="AO67" s="4032"/>
      <c r="AP67" s="4032"/>
      <c r="AQ67" s="4032"/>
      <c r="AR67" s="4032"/>
      <c r="AS67" s="4032"/>
      <c r="AT67" s="4032"/>
      <c r="AU67" s="4032"/>
      <c r="AV67" s="4032"/>
      <c r="AW67" s="4032"/>
      <c r="AX67" s="4032"/>
      <c r="AY67" s="4032"/>
      <c r="AZ67" s="4032"/>
      <c r="BA67" s="4032"/>
      <c r="BB67" s="4032"/>
      <c r="BC67" s="4032"/>
      <c r="BI67" s="1079">
        <v>19</v>
      </c>
    </row>
    <row r="68" spans="1:61" ht="14.65" customHeight="1">
      <c r="O68" s="471"/>
      <c r="BI68" s="1079">
        <v>14</v>
      </c>
    </row>
    <row r="69" spans="1:61" ht="14.25" hidden="1" customHeight="1">
      <c r="A69" s="1084" t="s">
        <v>69</v>
      </c>
      <c r="B69" s="1084">
        <v>0</v>
      </c>
      <c r="C69" s="1084">
        <v>0</v>
      </c>
      <c r="D69" s="1084">
        <v>0</v>
      </c>
      <c r="E69" s="1084">
        <v>0</v>
      </c>
      <c r="F69" s="1084">
        <v>0</v>
      </c>
      <c r="G69" s="1084">
        <v>0</v>
      </c>
      <c r="H69" s="1084">
        <v>0</v>
      </c>
      <c r="I69" s="1084">
        <v>0</v>
      </c>
      <c r="J69" s="1084">
        <v>0</v>
      </c>
      <c r="K69" s="1084">
        <v>0</v>
      </c>
      <c r="L69" s="1385">
        <v>0</v>
      </c>
      <c r="M69" s="1286">
        <v>0</v>
      </c>
      <c r="N69" s="1286">
        <v>0</v>
      </c>
      <c r="O69" s="1286">
        <v>0</v>
      </c>
      <c r="P69" s="1286">
        <v>0</v>
      </c>
      <c r="Q69" s="1295">
        <v>0</v>
      </c>
      <c r="R69" s="279">
        <v>3</v>
      </c>
      <c r="S69" s="515">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5">
        <v>10</v>
      </c>
      <c r="BE69" s="445">
        <v>10</v>
      </c>
      <c r="BF69" s="445">
        <v>10</v>
      </c>
      <c r="BG69" s="445">
        <v>10</v>
      </c>
      <c r="BH69" s="445">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4033">
        <v>1</v>
      </c>
      <c r="F2" s="1287"/>
      <c r="G2" s="1287"/>
      <c r="H2" s="1287"/>
      <c r="I2" s="1287"/>
      <c r="J2" s="1287"/>
      <c r="K2" s="1287"/>
      <c r="L2" s="1288"/>
      <c r="M2" s="1289"/>
      <c r="N2" s="1289"/>
      <c r="O2" s="1289"/>
      <c r="P2" s="295"/>
      <c r="Q2" s="294"/>
      <c r="R2" s="289"/>
      <c r="S2" s="1417" t="e">
        <f>INDEX(PT_DIFFERENTIATION_NUM_NTAR,MATCH(A2,PT_DIFFERENTIATION_NTAR_ID,0))</f>
        <v>#N/A</v>
      </c>
      <c r="T2" s="233" t="s">
        <v>195</v>
      </c>
      <c r="U2" s="235"/>
      <c r="V2" s="4027"/>
      <c r="W2" s="4028"/>
      <c r="X2" s="4028"/>
      <c r="Y2" s="4028"/>
      <c r="Z2" s="4028"/>
      <c r="AA2" s="4028"/>
      <c r="AB2" s="4029"/>
      <c r="AC2" s="4027" t="e">
        <f>INDEX(PT_DIFFERENTIATION_NTAR,MATCH(A2,PT_DIFFERENTIATION_NTAR_ID,0))</f>
        <v>#N/A</v>
      </c>
      <c r="AD2" s="4028"/>
      <c r="AE2" s="4028"/>
      <c r="AF2" s="4028"/>
      <c r="AG2" s="4028"/>
      <c r="AH2" s="4028"/>
      <c r="AI2" s="4028"/>
      <c r="AJ2" s="4029"/>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9">
        <v>0</v>
      </c>
    </row>
    <row r="3" spans="1:43" ht="23.25" hidden="1" customHeight="1">
      <c r="A3" s="1287"/>
      <c r="B3" s="1287"/>
      <c r="C3" s="1287"/>
      <c r="D3" s="1287"/>
      <c r="E3" s="4034"/>
      <c r="F3" s="4033">
        <v>1</v>
      </c>
      <c r="G3" s="1287"/>
      <c r="H3" s="1287"/>
      <c r="I3" s="1287"/>
      <c r="J3" s="1287"/>
      <c r="K3" s="1287"/>
      <c r="L3" s="1288"/>
      <c r="M3" s="1289"/>
      <c r="N3" s="1289"/>
      <c r="O3" s="1289"/>
      <c r="P3" s="1411"/>
      <c r="Q3" s="286"/>
      <c r="R3" s="287"/>
      <c r="S3" s="1417" t="e">
        <f>INDEX(PT_DIFFERENTIATION_NUM_TER,MATCH(B3,PT_DIFFERENTIATION_TER_ID,0))</f>
        <v>#N/A</v>
      </c>
      <c r="T3" s="243" t="s">
        <v>605</v>
      </c>
      <c r="U3" s="235"/>
      <c r="V3" s="4027"/>
      <c r="W3" s="4028"/>
      <c r="X3" s="4028"/>
      <c r="Y3" s="4028"/>
      <c r="Z3" s="4028"/>
      <c r="AA3" s="4028"/>
      <c r="AB3" s="4029"/>
      <c r="AC3" s="4027" t="e">
        <f>INDEX(PT_DIFFERENTIATION_TER,MATCH(B3,PT_DIFFERENTIATION_TER_ID,0))</f>
        <v>#N/A</v>
      </c>
      <c r="AD3" s="4028"/>
      <c r="AE3" s="4028"/>
      <c r="AF3" s="4028"/>
      <c r="AG3" s="4028"/>
      <c r="AH3" s="4028"/>
      <c r="AI3" s="4028"/>
      <c r="AJ3" s="4029"/>
      <c r="AK3" s="1182" t="s">
        <v>606</v>
      </c>
      <c r="AM3" s="434"/>
      <c r="AN3" s="434" t="str">
        <f t="shared" si="0"/>
        <v>Территория действия тарифа</v>
      </c>
      <c r="AO3" s="434"/>
      <c r="AP3" s="434"/>
      <c r="AQ3" s="1079">
        <v>0</v>
      </c>
    </row>
    <row r="4" spans="1:43" ht="23.25" hidden="1" customHeight="1">
      <c r="A4" s="1287"/>
      <c r="B4" s="1287"/>
      <c r="C4" s="1287"/>
      <c r="D4" s="1287"/>
      <c r="E4" s="4034"/>
      <c r="F4" s="4034"/>
      <c r="G4" s="4033">
        <v>1</v>
      </c>
      <c r="H4" s="1287"/>
      <c r="I4" s="1287"/>
      <c r="J4" s="1287"/>
      <c r="K4" s="1287"/>
      <c r="L4" s="1288"/>
      <c r="M4" s="1289"/>
      <c r="N4" s="1289"/>
      <c r="O4" s="1289"/>
      <c r="P4" s="288"/>
      <c r="Q4" s="286"/>
      <c r="R4" s="287"/>
      <c r="S4" s="1417" t="e">
        <f>INDEX(PT_DIFFERENTIATION_NUM_CS,MATCH(C4,PT_DIFFERENTIATION_CS_ID,0))</f>
        <v>#N/A</v>
      </c>
      <c r="T4" s="244" t="s">
        <v>725</v>
      </c>
      <c r="U4" s="235"/>
      <c r="V4" s="4027"/>
      <c r="W4" s="4028"/>
      <c r="X4" s="4028"/>
      <c r="Y4" s="4028"/>
      <c r="Z4" s="4028"/>
      <c r="AA4" s="4028"/>
      <c r="AB4" s="4029"/>
      <c r="AC4" s="4027" t="e">
        <f>INDEX(PT_DIFFERENTIATION_CS,MATCH(C4,PT_DIFFERENTIATION_CS_ID,0))</f>
        <v>#N/A</v>
      </c>
      <c r="AD4" s="4028"/>
      <c r="AE4" s="4028"/>
      <c r="AF4" s="4028"/>
      <c r="AG4" s="4028"/>
      <c r="AH4" s="4028"/>
      <c r="AI4" s="4028"/>
      <c r="AJ4" s="4029"/>
      <c r="AK4" s="1182" t="s">
        <v>726</v>
      </c>
      <c r="AM4" s="434"/>
      <c r="AN4" s="434" t="str">
        <f t="shared" si="0"/>
        <v>Наименование централизованной системы водоотведения</v>
      </c>
      <c r="AO4" s="434"/>
      <c r="AP4" s="434"/>
      <c r="AQ4" s="1079">
        <v>0</v>
      </c>
    </row>
    <row r="5" spans="1:43" ht="23.25" hidden="1" customHeight="1">
      <c r="A5" s="1287"/>
      <c r="B5" s="1287"/>
      <c r="C5" s="1287"/>
      <c r="D5" s="1287"/>
      <c r="E5" s="4034"/>
      <c r="F5" s="4034"/>
      <c r="G5" s="4034"/>
      <c r="H5" s="4034"/>
      <c r="I5" s="4035" t="e">
        <f>S4&amp;".1"</f>
        <v>#N/A</v>
      </c>
      <c r="J5" s="1287"/>
      <c r="K5" s="1287"/>
      <c r="L5" s="1288"/>
      <c r="P5" s="4037">
        <v>1</v>
      </c>
      <c r="Q5" s="1405"/>
      <c r="R5" s="290"/>
      <c r="S5" s="1417" t="e">
        <f>$I5</f>
        <v>#N/A</v>
      </c>
      <c r="T5" s="220" t="s">
        <v>692</v>
      </c>
      <c r="U5" s="235"/>
      <c r="V5" s="4101"/>
      <c r="W5" s="4102"/>
      <c r="X5" s="4102"/>
      <c r="Y5" s="4102"/>
      <c r="Z5" s="4102"/>
      <c r="AA5" s="4102"/>
      <c r="AB5" s="4103"/>
      <c r="AC5" s="4104"/>
      <c r="AD5" s="4105"/>
      <c r="AE5" s="4105"/>
      <c r="AF5" s="4105"/>
      <c r="AG5" s="4105"/>
      <c r="AH5" s="4105"/>
      <c r="AI5" s="4105"/>
      <c r="AJ5" s="4106"/>
      <c r="AK5" s="1182" t="s">
        <v>693</v>
      </c>
      <c r="AM5" s="434"/>
      <c r="AN5" s="434" t="str">
        <f t="shared" si="0"/>
        <v>Наименование признака дифференциации</v>
      </c>
      <c r="AO5" s="434"/>
      <c r="AP5" s="434"/>
      <c r="AQ5" s="1079">
        <v>0</v>
      </c>
    </row>
    <row r="6" spans="1:43" ht="23.25" hidden="1" customHeight="1">
      <c r="A6" s="1287"/>
      <c r="B6" s="1287"/>
      <c r="C6" s="1287"/>
      <c r="D6" s="1287"/>
      <c r="E6" s="4034"/>
      <c r="F6" s="4034"/>
      <c r="G6" s="4034"/>
      <c r="H6" s="4034"/>
      <c r="I6" s="4036"/>
      <c r="J6" s="4035" t="e">
        <f>I5&amp;".1"</f>
        <v>#N/A</v>
      </c>
      <c r="K6" s="1287"/>
      <c r="L6" s="1288" t="s">
        <v>614</v>
      </c>
      <c r="P6" s="4037"/>
      <c r="Q6" s="4037">
        <v>1</v>
      </c>
      <c r="R6" s="291"/>
      <c r="S6" s="1417" t="e">
        <f>$J6</f>
        <v>#N/A</v>
      </c>
      <c r="T6" s="221" t="s">
        <v>615</v>
      </c>
      <c r="U6" s="235"/>
      <c r="V6" s="4021"/>
      <c r="W6" s="4022"/>
      <c r="X6" s="4022"/>
      <c r="Y6" s="4022"/>
      <c r="Z6" s="4022"/>
      <c r="AA6" s="4022"/>
      <c r="AB6" s="4023"/>
      <c r="AC6" s="4021"/>
      <c r="AD6" s="4022"/>
      <c r="AE6" s="4022"/>
      <c r="AF6" s="4022"/>
      <c r="AG6" s="4022"/>
      <c r="AH6" s="4022"/>
      <c r="AI6" s="4022"/>
      <c r="AJ6" s="4023"/>
      <c r="AK6" s="1231" t="s">
        <v>694</v>
      </c>
      <c r="AM6" s="434"/>
      <c r="AN6" s="434" t="str">
        <f t="shared" si="0"/>
        <v>Группа потребителей</v>
      </c>
      <c r="AO6" s="434"/>
      <c r="AP6" s="434"/>
      <c r="AQ6" s="1079">
        <v>0</v>
      </c>
    </row>
    <row r="7" spans="1:43" ht="23.25" hidden="1" customHeight="1">
      <c r="A7" s="1287"/>
      <c r="B7" s="1287"/>
      <c r="C7" s="1287"/>
      <c r="D7" s="1287"/>
      <c r="E7" s="4034"/>
      <c r="F7" s="4034"/>
      <c r="G7" s="4034"/>
      <c r="H7" s="4034"/>
      <c r="I7" s="4036"/>
      <c r="J7" s="4036"/>
      <c r="K7" s="4035" t="e">
        <f>J6&amp;".1"</f>
        <v>#N/A</v>
      </c>
      <c r="L7" s="1288"/>
      <c r="P7" s="4037"/>
      <c r="Q7" s="4037"/>
      <c r="R7" s="291">
        <v>1</v>
      </c>
      <c r="S7" s="1417" t="e">
        <f>$K7</f>
        <v>#N/A</v>
      </c>
      <c r="T7" s="1361"/>
      <c r="U7" s="235"/>
      <c r="V7" s="685"/>
      <c r="W7" s="685"/>
      <c r="X7" s="1181"/>
      <c r="Y7" s="4038"/>
      <c r="Z7" s="3899" t="s">
        <v>53</v>
      </c>
      <c r="AA7" s="4038"/>
      <c r="AB7" s="3899" t="s">
        <v>53</v>
      </c>
      <c r="AC7" s="685"/>
      <c r="AD7" s="685"/>
      <c r="AE7" s="1181"/>
      <c r="AF7" s="4038"/>
      <c r="AG7" s="3899" t="s">
        <v>53</v>
      </c>
      <c r="AH7" s="4040"/>
      <c r="AI7" s="3899" t="s">
        <v>53</v>
      </c>
      <c r="AJ7" s="1362"/>
      <c r="AK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9">
        <v>0</v>
      </c>
    </row>
    <row r="8" spans="1:43" ht="14.25" hidden="1" customHeight="1">
      <c r="A8" s="1287"/>
      <c r="B8" s="1287"/>
      <c r="C8" s="1287"/>
      <c r="D8" s="1287"/>
      <c r="E8" s="4034"/>
      <c r="F8" s="4034"/>
      <c r="G8" s="4034"/>
      <c r="H8" s="4034"/>
      <c r="I8" s="4036"/>
      <c r="J8" s="4036"/>
      <c r="K8" s="4035"/>
      <c r="L8" s="1288"/>
      <c r="P8" s="4037"/>
      <c r="Q8" s="4037"/>
      <c r="R8" s="291"/>
      <c r="S8" s="1414"/>
      <c r="T8" s="235"/>
      <c r="U8" s="235"/>
      <c r="V8" s="260"/>
      <c r="W8" s="260"/>
      <c r="X8" s="263" t="str">
        <f>Y7&amp;"-"&amp;AA7</f>
        <v>-</v>
      </c>
      <c r="Y8" s="4039"/>
      <c r="Z8" s="3899"/>
      <c r="AA8" s="4039"/>
      <c r="AB8" s="3899"/>
      <c r="AC8" s="260"/>
      <c r="AD8" s="260"/>
      <c r="AE8" s="263" t="str">
        <f>AF7&amp;"-"&amp;AH7</f>
        <v>-</v>
      </c>
      <c r="AF8" s="4039"/>
      <c r="AG8" s="3899"/>
      <c r="AH8" s="4041"/>
      <c r="AI8" s="3899"/>
      <c r="AJ8" s="1363"/>
      <c r="AK8" s="4107"/>
      <c r="AM8" s="434"/>
      <c r="AN8" s="434" t="str">
        <f t="shared" si="0"/>
        <v/>
      </c>
      <c r="AO8" s="434"/>
      <c r="AP8" s="434"/>
      <c r="AQ8" s="1079">
        <v>0</v>
      </c>
    </row>
    <row r="9" spans="1:43" ht="21" hidden="1" customHeight="1">
      <c r="A9" s="1287"/>
      <c r="B9" s="1287"/>
      <c r="C9" s="1287"/>
      <c r="D9" s="1287"/>
      <c r="E9" s="4034"/>
      <c r="F9" s="4034"/>
      <c r="G9" s="4034"/>
      <c r="H9" s="4034"/>
      <c r="I9" s="4036"/>
      <c r="J9" s="4035"/>
      <c r="K9" s="1287"/>
      <c r="L9" s="1288"/>
      <c r="P9" s="4037"/>
      <c r="Q9" s="4037"/>
      <c r="R9" s="290"/>
      <c r="S9" s="1202"/>
      <c r="T9" s="222" t="s">
        <v>695</v>
      </c>
      <c r="U9" s="301"/>
      <c r="V9" s="301"/>
      <c r="W9" s="301"/>
      <c r="X9" s="301"/>
      <c r="Y9" s="301"/>
      <c r="Z9" s="301"/>
      <c r="AA9" s="301"/>
      <c r="AB9" s="301"/>
      <c r="AC9" s="301"/>
      <c r="AD9" s="301"/>
      <c r="AE9" s="301"/>
      <c r="AF9" s="301"/>
      <c r="AG9" s="301"/>
      <c r="AH9" s="301"/>
      <c r="AI9" s="301"/>
      <c r="AJ9" s="301"/>
      <c r="AK9" s="1182" t="s">
        <v>696</v>
      </c>
      <c r="AM9" s="434"/>
      <c r="AN9" s="434" t="str">
        <f t="shared" si="0"/>
        <v>Добавить значение признака дифференциации</v>
      </c>
      <c r="AO9" s="434"/>
      <c r="AP9" s="434"/>
      <c r="AQ9" s="1079">
        <v>0</v>
      </c>
    </row>
    <row r="10" spans="1:43" ht="21" hidden="1" customHeight="1">
      <c r="A10" s="1287"/>
      <c r="B10" s="1287"/>
      <c r="C10" s="1287"/>
      <c r="D10" s="1287"/>
      <c r="E10" s="4034"/>
      <c r="F10" s="4034"/>
      <c r="G10" s="4034"/>
      <c r="H10" s="4034"/>
      <c r="I10" s="4035"/>
      <c r="J10" s="1287"/>
      <c r="K10" s="1287"/>
      <c r="L10" s="1288"/>
      <c r="P10" s="4037"/>
      <c r="Q10" s="1405"/>
      <c r="R10" s="290"/>
      <c r="S10" s="1202"/>
      <c r="T10" s="299" t="s">
        <v>620</v>
      </c>
      <c r="U10" s="301"/>
      <c r="V10" s="301"/>
      <c r="W10" s="301"/>
      <c r="X10" s="301"/>
      <c r="Y10" s="301"/>
      <c r="Z10" s="301"/>
      <c r="AA10" s="301"/>
      <c r="AB10" s="300"/>
      <c r="AC10" s="301"/>
      <c r="AD10" s="301"/>
      <c r="AE10" s="301"/>
      <c r="AF10" s="301"/>
      <c r="AG10" s="301"/>
      <c r="AH10" s="301"/>
      <c r="AI10" s="300"/>
      <c r="AJ10" s="301"/>
      <c r="AK10" s="1364"/>
      <c r="AM10" s="434"/>
      <c r="AN10" s="434" t="str">
        <f t="shared" si="0"/>
        <v>Добавить группу потребителей</v>
      </c>
      <c r="AO10" s="434"/>
      <c r="AP10" s="434"/>
      <c r="AQ10" s="1079">
        <v>0</v>
      </c>
    </row>
    <row r="11" spans="1:43" ht="21" hidden="1" customHeight="1">
      <c r="A11" s="1287"/>
      <c r="B11" s="1287"/>
      <c r="C11" s="1287"/>
      <c r="D11" s="1287"/>
      <c r="E11" s="4034"/>
      <c r="F11" s="4034"/>
      <c r="G11" s="4034"/>
      <c r="H11" s="4033"/>
      <c r="I11" s="1287"/>
      <c r="J11" s="1287"/>
      <c r="K11" s="1287"/>
      <c r="L11" s="1288"/>
      <c r="M11" s="1289"/>
      <c r="N11" s="1289"/>
      <c r="O11" s="471"/>
      <c r="P11" s="294"/>
      <c r="Q11" s="309"/>
      <c r="R11" s="289"/>
      <c r="S11" s="1202"/>
      <c r="T11" s="306" t="s">
        <v>697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9">
        <v>0</v>
      </c>
    </row>
    <row r="12" spans="1:43" s="1566" customFormat="1" ht="14.25" hidden="1" customHeight="1">
      <c r="A12" s="1267"/>
      <c r="B12" s="1267"/>
      <c r="C12" s="1238"/>
      <c r="D12" s="1238"/>
      <c r="E12" s="4034"/>
      <c r="F12" s="4033"/>
      <c r="G12" s="1238"/>
      <c r="H12" s="1238"/>
      <c r="I12" s="1238"/>
      <c r="J12" s="1238"/>
      <c r="K12" s="1238"/>
      <c r="L12" s="1418"/>
      <c r="M12" s="1245"/>
      <c r="N12" s="1245"/>
      <c r="P12" s="1240"/>
      <c r="Q12" s="1241"/>
      <c r="R12" s="1240"/>
      <c r="S12" s="1246"/>
      <c r="T12" s="1249" t="s">
        <v>236</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2">
        <v>0</v>
      </c>
    </row>
    <row r="13" spans="1:43" s="1566" customFormat="1" ht="14.25" hidden="1" customHeight="1">
      <c r="A13" s="1267"/>
      <c r="B13" s="1267"/>
      <c r="C13" s="1267"/>
      <c r="D13" s="1267"/>
      <c r="E13" s="4033"/>
      <c r="F13" s="1267"/>
      <c r="G13" s="1267"/>
      <c r="H13" s="1267"/>
      <c r="I13" s="1267"/>
      <c r="J13" s="1267"/>
      <c r="K13" s="1267"/>
      <c r="L13" s="1270"/>
      <c r="M13" s="1245"/>
      <c r="N13" s="1245"/>
      <c r="O13" s="452"/>
      <c r="P13" s="314"/>
      <c r="Q13" s="1268"/>
      <c r="R13" s="314"/>
      <c r="S13" s="1246"/>
      <c r="T13" s="1249" t="s">
        <v>286</v>
      </c>
      <c r="U13" s="1248"/>
      <c r="V13" s="1248"/>
      <c r="W13" s="1248"/>
      <c r="X13" s="1248"/>
      <c r="Y13" s="1248"/>
      <c r="Z13" s="1248"/>
      <c r="AA13" s="1248"/>
      <c r="AB13" s="1248"/>
      <c r="AC13" s="1248"/>
      <c r="AD13" s="1248"/>
      <c r="AE13" s="1248"/>
      <c r="AF13" s="1248"/>
      <c r="AG13" s="1248"/>
      <c r="AH13" s="1248"/>
      <c r="AI13" s="1248"/>
      <c r="AJ13" s="1248"/>
      <c r="AK13" s="1248"/>
      <c r="AM13" s="434"/>
      <c r="AN13" s="434" t="str">
        <f t="shared" si="0"/>
        <v>Добавить территорию для дифференциации</v>
      </c>
      <c r="AO13" s="434"/>
      <c r="AP13" s="434"/>
      <c r="AQ13" s="445">
        <v>0</v>
      </c>
    </row>
    <row r="14" spans="1:43" ht="14.25" hidden="1" customHeight="1">
      <c r="AB14" s="262"/>
      <c r="AI14" s="262"/>
      <c r="AQ14" s="1079">
        <v>0</v>
      </c>
    </row>
    <row r="15" spans="1:43" ht="14.25" hidden="1" customHeight="1">
      <c r="AC15" s="1284"/>
      <c r="AD15" s="1284"/>
      <c r="AE15" s="1285"/>
      <c r="AF15" s="4031"/>
      <c r="AG15" s="4030" t="s">
        <v>53</v>
      </c>
      <c r="AH15" s="4031"/>
      <c r="AI15" s="4030" t="s">
        <v>53</v>
      </c>
      <c r="AQ15" s="1079">
        <v>0</v>
      </c>
    </row>
    <row r="16" spans="1:43" ht="14.25" hidden="1" customHeight="1">
      <c r="AC16" s="1284"/>
      <c r="AD16" s="1284"/>
      <c r="AE16" s="263" t="str">
        <f>AF15&amp;"-"&amp;AH15</f>
        <v>-</v>
      </c>
      <c r="AF16" s="4030"/>
      <c r="AG16" s="4030"/>
      <c r="AH16" s="4030"/>
      <c r="AI16" s="4030"/>
      <c r="AQ16" s="1079">
        <v>0</v>
      </c>
    </row>
    <row r="17" spans="1:43" ht="14.25" hidden="1" customHeight="1">
      <c r="AI17" s="262"/>
      <c r="AQ17" s="1079">
        <v>0</v>
      </c>
    </row>
    <row r="18" spans="1:43" s="1290" customFormat="1" ht="22.5" hidden="1" customHeight="1">
      <c r="L18" s="1402"/>
      <c r="M18" s="1286"/>
      <c r="N18" s="1286"/>
      <c r="O18" s="1291" t="s">
        <v>622</v>
      </c>
      <c r="P18" s="1286"/>
      <c r="Q18" s="1295"/>
      <c r="R18" s="1295"/>
      <c r="S18" s="663"/>
      <c r="Y18" s="1291"/>
      <c r="AA18" s="1291"/>
      <c r="AF18" s="1291"/>
      <c r="AH18" s="1291"/>
      <c r="AL18" s="445"/>
      <c r="AM18" s="445"/>
      <c r="AN18" s="445"/>
      <c r="AO18" s="445"/>
      <c r="AP18" s="445"/>
      <c r="AQ18" s="1084">
        <v>0</v>
      </c>
    </row>
    <row r="19" spans="1:43" s="1290" customFormat="1" ht="14.25" hidden="1" customHeight="1">
      <c r="L19" s="1402"/>
      <c r="M19" s="1286"/>
      <c r="N19" s="1286"/>
      <c r="O19" s="1286"/>
      <c r="P19" s="1286"/>
      <c r="Q19" s="1295"/>
      <c r="R19" s="1295"/>
      <c r="S19" s="663"/>
      <c r="AL19" s="445"/>
      <c r="AM19" s="445"/>
      <c r="AN19" s="445"/>
      <c r="AO19" s="445"/>
      <c r="AP19" s="445"/>
      <c r="AQ19" s="1084">
        <v>0</v>
      </c>
    </row>
    <row r="20" spans="1:43" s="1290" customFormat="1" ht="12" hidden="1" customHeight="1">
      <c r="L20" s="1402"/>
      <c r="M20" s="1286"/>
      <c r="N20" s="1286"/>
      <c r="O20" s="1288" t="s">
        <v>623</v>
      </c>
      <c r="P20" s="1286"/>
      <c r="Q20" s="1366"/>
      <c r="R20" s="1366"/>
      <c r="S20" s="663"/>
      <c r="T20" s="1084" t="s">
        <v>624</v>
      </c>
      <c r="Z20" s="121" t="s">
        <v>625</v>
      </c>
      <c r="AB20" s="121" t="s">
        <v>626</v>
      </c>
      <c r="AC20" s="1084" t="s">
        <v>624</v>
      </c>
      <c r="AG20" s="121" t="s">
        <v>627</v>
      </c>
      <c r="AI20" s="121" t="s">
        <v>626</v>
      </c>
      <c r="AQ20" s="1084">
        <v>0</v>
      </c>
    </row>
    <row r="21" spans="1:43" ht="14.25" hidden="1" customHeight="1">
      <c r="O21" s="1288"/>
      <c r="AQ21" s="1079">
        <v>0</v>
      </c>
    </row>
    <row r="22" spans="1:43" ht="14.25" hidden="1" customHeight="1">
      <c r="O22" s="1288"/>
      <c r="AQ22" s="1079">
        <v>0</v>
      </c>
    </row>
    <row r="23" spans="1:43" ht="14.65" customHeight="1">
      <c r="Q23" s="310"/>
      <c r="R23" s="310"/>
      <c r="S23" s="1199"/>
      <c r="T23" s="297"/>
      <c r="U23" s="297"/>
      <c r="V23" s="443"/>
      <c r="W23" s="443"/>
      <c r="X23" s="443"/>
      <c r="Y23" s="443"/>
      <c r="Z23" s="443"/>
      <c r="AA23" s="443"/>
      <c r="AB23" s="443"/>
      <c r="AC23" s="443"/>
      <c r="AD23" s="443"/>
      <c r="AE23" s="443"/>
      <c r="AF23" s="443"/>
      <c r="AG23" s="443"/>
      <c r="AH23" s="443"/>
      <c r="AI23" s="443"/>
      <c r="AQ23" s="1079">
        <v>14</v>
      </c>
    </row>
    <row r="24" spans="1:43" ht="14.65" customHeight="1">
      <c r="Q24" s="310"/>
      <c r="R24" s="310"/>
      <c r="S24" s="40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014"/>
      <c r="U24" s="4014"/>
      <c r="V24" s="4014"/>
      <c r="W24" s="4014"/>
      <c r="X24" s="4014"/>
      <c r="Y24" s="4014"/>
      <c r="Z24" s="4014"/>
      <c r="AA24" s="4014"/>
      <c r="AB24" s="4014"/>
      <c r="AC24" s="4014"/>
      <c r="AD24" s="4014"/>
      <c r="AE24" s="4014"/>
      <c r="AF24" s="4014"/>
      <c r="AG24" s="4014"/>
      <c r="AH24" s="4014"/>
      <c r="AI24" s="1167"/>
      <c r="AQ24" s="1079">
        <v>14</v>
      </c>
    </row>
    <row r="25" spans="1:43" ht="14.65" customHeight="1">
      <c r="Q25" s="310"/>
      <c r="R25" s="310"/>
      <c r="S25" s="3987" t="str">
        <f>IF(org=0,"Не определено",org)</f>
        <v>ООО "Смоленскрегионтеплоэнерго"</v>
      </c>
      <c r="T25" s="3987"/>
      <c r="U25" s="3987"/>
      <c r="V25" s="3987"/>
      <c r="W25" s="3987"/>
      <c r="X25" s="3987"/>
      <c r="Y25" s="3987"/>
      <c r="Z25" s="3987"/>
      <c r="AA25" s="3987"/>
      <c r="AB25" s="3987"/>
      <c r="AC25" s="3987"/>
      <c r="AD25" s="3987"/>
      <c r="AE25" s="3987"/>
      <c r="AF25" s="3987"/>
      <c r="AG25" s="3987"/>
      <c r="AH25" s="3987"/>
      <c r="AI25" s="1167"/>
      <c r="AQ25" s="1079">
        <v>14</v>
      </c>
    </row>
    <row r="26" spans="1:43" ht="14.25" hidden="1" customHeight="1">
      <c r="Q26" s="310"/>
      <c r="R26" s="310"/>
      <c r="S26" s="1199"/>
      <c r="T26" s="297"/>
      <c r="U26" s="297"/>
      <c r="V26" s="257"/>
      <c r="W26" s="257"/>
      <c r="X26" s="257"/>
      <c r="Y26" s="257"/>
      <c r="Z26" s="257"/>
      <c r="AA26" s="257"/>
      <c r="AB26" s="257"/>
      <c r="AC26" s="257"/>
      <c r="AD26" s="257"/>
      <c r="AE26" s="257"/>
      <c r="AF26" s="257"/>
      <c r="AG26" s="257"/>
      <c r="AH26" s="257"/>
      <c r="AI26" s="257"/>
      <c r="AJ26" s="443"/>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4024" t="s">
        <v>29</v>
      </c>
      <c r="T27" s="4024"/>
      <c r="U27" s="1296"/>
      <c r="V27" s="4026" t="str">
        <f>IF(TITLE_NAME_OR_PR_CHANGE="",IF(TITLE_NAME_OR_PR="","",TITLE_NAME_OR_PR),TITLE_NAME_OR_PR_CHANGE)</f>
        <v/>
      </c>
      <c r="W27" s="4026"/>
      <c r="X27" s="4026"/>
      <c r="Y27" s="4026"/>
      <c r="Z27" s="4026"/>
      <c r="AA27" s="4026"/>
      <c r="AB27" s="261"/>
      <c r="AC27" s="4026" t="str">
        <f>IF(TITLE_NAME_OR_PR_CHANGE="",IF(TITLE_NAME_OR_PR="","",TITLE_NAME_OR_PR),TITLE_NAME_OR_PR_CHANGE)</f>
        <v/>
      </c>
      <c r="AD27" s="4026"/>
      <c r="AE27" s="4026"/>
      <c r="AF27" s="4026"/>
      <c r="AG27" s="4026"/>
      <c r="AH27" s="4026"/>
      <c r="AI27" s="261"/>
      <c r="AJ27" s="261"/>
      <c r="AK27" s="215"/>
      <c r="AL27" s="302"/>
      <c r="AM27" s="302"/>
      <c r="AN27" s="302"/>
      <c r="AO27" s="302"/>
      <c r="AP27" s="302"/>
      <c r="AQ27" s="352">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4024" t="s">
        <v>628</v>
      </c>
      <c r="T28" s="4024"/>
      <c r="U28" s="1296"/>
      <c r="V28" s="4025">
        <f>IF(TITLE_DATE_PR_CHANGE="",IF(TITLE_DATE_PR="","",TITLE_DATE_PR),TITLE_DATE_PR_CHANGE)</f>
        <v>45765</v>
      </c>
      <c r="W28" s="4025"/>
      <c r="X28" s="4025"/>
      <c r="Y28" s="4025"/>
      <c r="Z28" s="4025"/>
      <c r="AA28" s="4025"/>
      <c r="AB28" s="261"/>
      <c r="AC28" s="4025">
        <f>IF(TITLE_DATE_PR_CHANGE="",IF(TITLE_DATE_PR="","",TITLE_DATE_PR),TITLE_DATE_PR_CHANGE)</f>
        <v>45765</v>
      </c>
      <c r="AD28" s="4025"/>
      <c r="AE28" s="4025"/>
      <c r="AF28" s="4025"/>
      <c r="AG28" s="4025"/>
      <c r="AH28" s="4025"/>
      <c r="AI28" s="261"/>
      <c r="AJ28" s="261"/>
      <c r="AK28" s="215"/>
      <c r="AL28" s="302"/>
      <c r="AM28" s="302"/>
      <c r="AN28" s="302"/>
      <c r="AO28" s="302"/>
      <c r="AP28" s="302"/>
      <c r="AQ28" s="352">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4024" t="s">
        <v>629</v>
      </c>
      <c r="T29" s="4024"/>
      <c r="U29" s="1296"/>
      <c r="V29" s="4026" t="str">
        <f>IF(TITLE_NUMBER_PR_CHANGE="",IF(TITLE_NUMBER_PR="","",TITLE_NUMBER_PR),TITLE_NUMBER_PR_CHANGE)</f>
        <v>917</v>
      </c>
      <c r="W29" s="4026"/>
      <c r="X29" s="4026"/>
      <c r="Y29" s="4026"/>
      <c r="Z29" s="4026"/>
      <c r="AA29" s="4026"/>
      <c r="AB29" s="261"/>
      <c r="AC29" s="4026" t="str">
        <f>IF(TITLE_NUMBER_PR_CHANGE="",IF(TITLE_NUMBER_PR="","",TITLE_NUMBER_PR),TITLE_NUMBER_PR_CHANGE)</f>
        <v>917</v>
      </c>
      <c r="AD29" s="4026"/>
      <c r="AE29" s="4026"/>
      <c r="AF29" s="4026"/>
      <c r="AG29" s="4026"/>
      <c r="AH29" s="4026"/>
      <c r="AI29" s="261"/>
      <c r="AJ29" s="261"/>
      <c r="AK29" s="215"/>
      <c r="AL29" s="302"/>
      <c r="AM29" s="302"/>
      <c r="AN29" s="302"/>
      <c r="AO29" s="302"/>
      <c r="AP29" s="302"/>
      <c r="AQ29" s="352">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4024" t="s">
        <v>30</v>
      </c>
      <c r="T30" s="4024"/>
      <c r="U30" s="1296"/>
      <c r="V30" s="4026" t="str">
        <f>IF(TITLE_IST_PUB_CHANGE="",IF(TITLE_IST_PUB="","",TITLE_IST_PUB),TITLE_IST_PUB_CHANGE)</f>
        <v/>
      </c>
      <c r="W30" s="4026"/>
      <c r="X30" s="4026"/>
      <c r="Y30" s="4026"/>
      <c r="Z30" s="4026"/>
      <c r="AA30" s="4026"/>
      <c r="AB30" s="261"/>
      <c r="AC30" s="4026" t="str">
        <f>IF(TITLE_IST_PUB_CHANGE="",IF(TITLE_IST_PUB="","",TITLE_IST_PUB),TITLE_IST_PUB_CHANGE)</f>
        <v/>
      </c>
      <c r="AD30" s="4026"/>
      <c r="AE30" s="4026"/>
      <c r="AF30" s="4026"/>
      <c r="AG30" s="4026"/>
      <c r="AH30" s="4026"/>
      <c r="AI30" s="261"/>
      <c r="AJ30" s="261"/>
      <c r="AK30" s="215"/>
      <c r="AL30" s="302"/>
      <c r="AM30" s="302"/>
      <c r="AN30" s="302"/>
      <c r="AO30" s="302"/>
      <c r="AP30" s="302"/>
      <c r="AQ30" s="352">
        <v>0</v>
      </c>
    </row>
    <row r="31" spans="1:43" ht="14.25" customHeight="1">
      <c r="Q31" s="310"/>
      <c r="R31" s="310"/>
      <c r="S31" s="1199"/>
      <c r="T31" s="297"/>
      <c r="U31" s="297"/>
      <c r="V31" s="257"/>
      <c r="W31" s="257"/>
      <c r="X31" s="257"/>
      <c r="Y31" s="257"/>
      <c r="Z31" s="257"/>
      <c r="AA31" s="257"/>
      <c r="AB31" s="257"/>
      <c r="AC31" s="257"/>
      <c r="AD31" s="257"/>
      <c r="AE31" s="257"/>
      <c r="AF31" s="257"/>
      <c r="AG31" s="257"/>
      <c r="AH31" s="257"/>
      <c r="AI31" s="257"/>
      <c r="AJ31" s="443"/>
      <c r="AQ31" s="1079">
        <v>0</v>
      </c>
    </row>
    <row r="32" spans="1:43" s="1748" customFormat="1" ht="18.75" customHeight="1">
      <c r="A32" s="1292"/>
      <c r="B32" s="1292"/>
      <c r="C32" s="1292"/>
      <c r="D32" s="1292"/>
      <c r="E32" s="1292"/>
      <c r="F32" s="1292"/>
      <c r="G32" s="1292"/>
      <c r="H32" s="1292"/>
      <c r="I32" s="1292"/>
      <c r="J32" s="1292"/>
      <c r="K32" s="1292"/>
      <c r="L32" s="1293"/>
      <c r="M32" s="1292"/>
      <c r="N32" s="1292"/>
      <c r="O32" s="1292"/>
      <c r="S32" s="4024" t="s">
        <v>630</v>
      </c>
      <c r="T32" s="4024"/>
      <c r="U32" s="1296"/>
      <c r="V32" s="4025">
        <f>IF(TITLE_DATE_PR_CHANGE="",IF(TITLE_DATE_PR="","",TITLE_DATE_PR),TITLE_DATE_PR_CHANGE)</f>
        <v>45765</v>
      </c>
      <c r="W32" s="4025"/>
      <c r="X32" s="4025"/>
      <c r="Y32" s="4025"/>
      <c r="Z32" s="4025"/>
      <c r="AA32" s="4025"/>
      <c r="AB32" s="261"/>
      <c r="AC32" s="4025">
        <f>IF(TITLE_DATE_PR_CHANGE="",IF(TITLE_DATE_PR="","",TITLE_DATE_PR),TITLE_DATE_PR_CHANGE)</f>
        <v>45765</v>
      </c>
      <c r="AD32" s="4025"/>
      <c r="AE32" s="4025"/>
      <c r="AF32" s="4025"/>
      <c r="AG32" s="4025"/>
      <c r="AH32" s="4025"/>
      <c r="AI32" s="261"/>
      <c r="AJ32" s="261"/>
      <c r="AK32" s="215"/>
      <c r="AL32" s="302"/>
      <c r="AM32" s="302"/>
      <c r="AN32" s="302"/>
      <c r="AO32" s="302"/>
      <c r="AP32" s="302"/>
      <c r="AQ32" s="352">
        <v>0</v>
      </c>
    </row>
    <row r="33" spans="1:43" s="1748" customFormat="1" ht="18.75" customHeight="1">
      <c r="A33" s="1292"/>
      <c r="B33" s="1292"/>
      <c r="C33" s="1292"/>
      <c r="D33" s="1292"/>
      <c r="E33" s="1292"/>
      <c r="F33" s="1292"/>
      <c r="G33" s="1292"/>
      <c r="H33" s="1292"/>
      <c r="I33" s="1292"/>
      <c r="J33" s="1292"/>
      <c r="K33" s="1292"/>
      <c r="L33" s="1293"/>
      <c r="M33" s="1292"/>
      <c r="N33" s="1292"/>
      <c r="O33" s="1292"/>
      <c r="S33" s="4024" t="s">
        <v>631</v>
      </c>
      <c r="T33" s="4024"/>
      <c r="U33" s="1296"/>
      <c r="V33" s="4026" t="str">
        <f>IF(TITLE_NUMBER_PR_CHANGE="",IF(TITLE_NUMBER_PR="","",TITLE_NUMBER_PR),TITLE_NUMBER_PR_CHANGE)</f>
        <v>917</v>
      </c>
      <c r="W33" s="4026"/>
      <c r="X33" s="4026"/>
      <c r="Y33" s="4026"/>
      <c r="Z33" s="4026"/>
      <c r="AA33" s="4026"/>
      <c r="AB33" s="261"/>
      <c r="AC33" s="4026" t="str">
        <f>IF(TITLE_NUMBER_PR_CHANGE="",IF(TITLE_NUMBER_PR="","",TITLE_NUMBER_PR),TITLE_NUMBER_PR_CHANGE)</f>
        <v>917</v>
      </c>
      <c r="AD33" s="4026"/>
      <c r="AE33" s="4026"/>
      <c r="AF33" s="4026"/>
      <c r="AG33" s="4026"/>
      <c r="AH33" s="4026"/>
      <c r="AI33" s="261"/>
      <c r="AJ33" s="261"/>
      <c r="AK33" s="215"/>
      <c r="AL33" s="302"/>
      <c r="AM33" s="302"/>
      <c r="AN33" s="302"/>
      <c r="AO33" s="302"/>
      <c r="AP33" s="302"/>
      <c r="AQ33" s="352">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412"/>
      <c r="V34" s="261"/>
      <c r="W34" s="261"/>
      <c r="X34" s="261"/>
      <c r="Y34" s="261"/>
      <c r="Z34" s="261"/>
      <c r="AA34" s="261"/>
      <c r="AB34" s="213" t="s">
        <v>632</v>
      </c>
      <c r="AC34" s="261"/>
      <c r="AD34" s="261"/>
      <c r="AE34" s="261"/>
      <c r="AF34" s="261"/>
      <c r="AG34" s="261"/>
      <c r="AH34" s="261"/>
      <c r="AI34" s="213" t="s">
        <v>632</v>
      </c>
      <c r="AL34" s="302"/>
      <c r="AM34" s="302"/>
      <c r="AN34" s="302"/>
      <c r="AO34" s="302"/>
      <c r="AP34" s="302"/>
      <c r="AQ34" s="352">
        <v>1</v>
      </c>
    </row>
    <row r="35" spans="1:43" ht="14.65" customHeight="1">
      <c r="Q35" s="310"/>
      <c r="R35" s="310"/>
      <c r="S35" s="1199"/>
      <c r="T35" s="297"/>
      <c r="U35" s="1168"/>
      <c r="V35" s="4045"/>
      <c r="W35" s="4045"/>
      <c r="X35" s="4045"/>
      <c r="Y35" s="4045"/>
      <c r="Z35" s="4045"/>
      <c r="AA35" s="4045"/>
      <c r="AB35" s="4045"/>
      <c r="AC35" s="4045"/>
      <c r="AD35" s="4045"/>
      <c r="AE35" s="4045"/>
      <c r="AF35" s="4045"/>
      <c r="AG35" s="4045"/>
      <c r="AH35" s="4045"/>
      <c r="AI35" s="4045"/>
      <c r="AQ35" s="1079">
        <v>14</v>
      </c>
    </row>
    <row r="36" spans="1:43" ht="14.65" customHeight="1">
      <c r="Q36" s="310"/>
      <c r="R36" s="310"/>
      <c r="S36" s="3889" t="s">
        <v>508</v>
      </c>
      <c r="T36" s="3889"/>
      <c r="U36" s="3889"/>
      <c r="V36" s="3889"/>
      <c r="W36" s="3889"/>
      <c r="X36" s="3889"/>
      <c r="Y36" s="3889"/>
      <c r="Z36" s="3889"/>
      <c r="AA36" s="3889"/>
      <c r="AB36" s="3889"/>
      <c r="AC36" s="3889"/>
      <c r="AD36" s="3889"/>
      <c r="AE36" s="3889"/>
      <c r="AF36" s="3889"/>
      <c r="AG36" s="3889"/>
      <c r="AH36" s="3889"/>
      <c r="AI36" s="3889"/>
      <c r="AJ36" s="3889"/>
      <c r="AK36" s="3889" t="s">
        <v>509</v>
      </c>
      <c r="AQ36" s="1079">
        <v>14</v>
      </c>
    </row>
    <row r="37" spans="1:43" ht="14.65" customHeight="1">
      <c r="Q37" s="310"/>
      <c r="R37" s="310"/>
      <c r="S37" s="4046" t="s">
        <v>75</v>
      </c>
      <c r="T37" s="3995" t="s">
        <v>633</v>
      </c>
      <c r="U37" s="236"/>
      <c r="V37" s="4047" t="s">
        <v>634</v>
      </c>
      <c r="W37" s="4048"/>
      <c r="X37" s="4048"/>
      <c r="Y37" s="4048"/>
      <c r="Z37" s="4048"/>
      <c r="AA37" s="4049"/>
      <c r="AB37" s="4050" t="s">
        <v>635</v>
      </c>
      <c r="AC37" s="4047" t="s">
        <v>634</v>
      </c>
      <c r="AD37" s="4048"/>
      <c r="AE37" s="4048"/>
      <c r="AF37" s="4048"/>
      <c r="AG37" s="4048"/>
      <c r="AH37" s="4049"/>
      <c r="AI37" s="4050" t="s">
        <v>636</v>
      </c>
      <c r="AJ37" s="4053" t="s">
        <v>637</v>
      </c>
      <c r="AK37" s="3889"/>
      <c r="AQ37" s="1079">
        <v>14</v>
      </c>
    </row>
    <row r="38" spans="1:43" ht="35.65" customHeight="1">
      <c r="Q38" s="310"/>
      <c r="R38" s="310"/>
      <c r="S38" s="4046"/>
      <c r="T38" s="3995"/>
      <c r="U38" s="958"/>
      <c r="V38" s="1407" t="s">
        <v>698</v>
      </c>
      <c r="W38" s="3870" t="s">
        <v>640</v>
      </c>
      <c r="X38" s="3869"/>
      <c r="Y38" s="3870" t="s">
        <v>641</v>
      </c>
      <c r="Z38" s="3875"/>
      <c r="AA38" s="3869"/>
      <c r="AB38" s="4051"/>
      <c r="AC38" s="1407" t="s">
        <v>698</v>
      </c>
      <c r="AD38" s="3870" t="s">
        <v>640</v>
      </c>
      <c r="AE38" s="3869"/>
      <c r="AF38" s="3870" t="s">
        <v>641</v>
      </c>
      <c r="AG38" s="3875"/>
      <c r="AH38" s="3869"/>
      <c r="AI38" s="4051"/>
      <c r="AJ38" s="4054"/>
      <c r="AK38" s="3889"/>
      <c r="AQ38" s="1079">
        <v>34</v>
      </c>
    </row>
    <row r="39" spans="1:43" ht="90.4" customHeight="1">
      <c r="A39" s="1294"/>
      <c r="B39" s="1294" t="s">
        <v>207</v>
      </c>
      <c r="C39" s="1294" t="s">
        <v>208</v>
      </c>
      <c r="D39" s="1294" t="s">
        <v>209</v>
      </c>
      <c r="E39" s="1288" t="s">
        <v>642</v>
      </c>
      <c r="F39" s="1288" t="s">
        <v>643</v>
      </c>
      <c r="G39" s="1288" t="s">
        <v>644</v>
      </c>
      <c r="H39" s="1288"/>
      <c r="I39" s="1288" t="s">
        <v>699</v>
      </c>
      <c r="J39" s="1288" t="s">
        <v>647</v>
      </c>
      <c r="K39" s="1288" t="s">
        <v>700</v>
      </c>
      <c r="L39" s="1288" t="s">
        <v>623</v>
      </c>
      <c r="Q39" s="310"/>
      <c r="R39" s="310"/>
      <c r="S39" s="4046"/>
      <c r="T39" s="3995"/>
      <c r="U39" s="237"/>
      <c r="V39" s="1407" t="s">
        <v>727</v>
      </c>
      <c r="W39" s="1146" t="s">
        <v>728</v>
      </c>
      <c r="X39" s="1146" t="s">
        <v>703</v>
      </c>
      <c r="Y39" s="1413" t="s">
        <v>651</v>
      </c>
      <c r="Z39" s="4000" t="s">
        <v>652</v>
      </c>
      <c r="AA39" s="4013"/>
      <c r="AB39" s="4052"/>
      <c r="AC39" s="1407" t="s">
        <v>727</v>
      </c>
      <c r="AD39" s="1146" t="s">
        <v>728</v>
      </c>
      <c r="AE39" s="1146" t="s">
        <v>703</v>
      </c>
      <c r="AF39" s="1413" t="s">
        <v>651</v>
      </c>
      <c r="AG39" s="4000" t="s">
        <v>652</v>
      </c>
      <c r="AH39" s="4013"/>
      <c r="AI39" s="4052"/>
      <c r="AJ39" s="4055"/>
      <c r="AK39" s="3889"/>
      <c r="AQ39" s="1079">
        <v>86</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184</v>
      </c>
      <c r="T40" s="1179" t="s">
        <v>89</v>
      </c>
      <c r="U40" s="1169" t="str">
        <f ca="1">OFFSET(U40,0,-1)</f>
        <v>2</v>
      </c>
      <c r="V40" s="1406">
        <f ca="1">OFFSET(V40,0,-1)+1</f>
        <v>3</v>
      </c>
      <c r="W40" s="1406">
        <f ca="1">OFFSET(W40,0,-1)+1</f>
        <v>4</v>
      </c>
      <c r="X40" s="1406">
        <f ca="1">OFFSET(X40,0,-1)+1</f>
        <v>5</v>
      </c>
      <c r="Y40" s="1406">
        <f ca="1">OFFSET(Y40,0,-1)+1</f>
        <v>6</v>
      </c>
      <c r="Z40" s="4044">
        <f ca="1">OFFSET(Z40,0,-1)+1</f>
        <v>7</v>
      </c>
      <c r="AA40" s="4044"/>
      <c r="AB40" s="1406">
        <f ca="1">OFFSET(AB40,0,-2)+1</f>
        <v>8</v>
      </c>
      <c r="AC40" s="1406">
        <f ca="1">OFFSET(AC40,0,-1)+1</f>
        <v>9</v>
      </c>
      <c r="AD40" s="1406">
        <f ca="1">OFFSET(AD40,0,-1)+1</f>
        <v>10</v>
      </c>
      <c r="AE40" s="1406">
        <f ca="1">OFFSET(AE40,0,-1)+1</f>
        <v>11</v>
      </c>
      <c r="AF40" s="1406">
        <f ca="1">OFFSET(AF40,0,-1)+1</f>
        <v>12</v>
      </c>
      <c r="AG40" s="4044">
        <f ca="1">OFFSET(AG40,0,-1)+1</f>
        <v>13</v>
      </c>
      <c r="AH40" s="4044"/>
      <c r="AI40" s="1406">
        <f ca="1">OFFSET(AI40,0,-2)+1</f>
        <v>14</v>
      </c>
      <c r="AJ40" s="1169">
        <f ca="1">OFFSET(AJ40,0,-1)</f>
        <v>14</v>
      </c>
      <c r="AK40" s="1406">
        <f ca="1">OFFSET(AK40,0,-1)+1</f>
        <v>15</v>
      </c>
      <c r="AL40" s="445"/>
      <c r="AM40" s="445"/>
      <c r="AN40" s="445"/>
      <c r="AO40" s="445"/>
      <c r="AP40" s="445"/>
      <c r="AQ40" s="430">
        <v>0</v>
      </c>
    </row>
    <row r="41" spans="1:43" ht="24" customHeight="1">
      <c r="A41" s="1287" t="s">
        <v>474</v>
      </c>
      <c r="B41" s="1287"/>
      <c r="C41" s="1287"/>
      <c r="D41" s="1287"/>
      <c r="E41" s="4033">
        <v>1</v>
      </c>
      <c r="F41" s="1287"/>
      <c r="G41" s="1287"/>
      <c r="H41" s="1287"/>
      <c r="I41" s="1287"/>
      <c r="J41" s="1287"/>
      <c r="K41" s="1287"/>
      <c r="L41" s="1288"/>
      <c r="M41" s="1289"/>
      <c r="N41" s="1289"/>
      <c r="O41" s="1289"/>
      <c r="P41" s="295"/>
      <c r="Q41" s="294"/>
      <c r="R41" s="289"/>
      <c r="S41" s="1417">
        <f>INDEX(PT_DIFFERENTIATION_NUM_NTAR,MATCH(A41,PT_DIFFERENTIATION_NTAR_ID,0))</f>
        <v>0</v>
      </c>
      <c r="T41" s="233" t="s">
        <v>195</v>
      </c>
      <c r="U41" s="235"/>
      <c r="V41" s="4027"/>
      <c r="W41" s="4028"/>
      <c r="X41" s="4028"/>
      <c r="Y41" s="4028"/>
      <c r="Z41" s="4028"/>
      <c r="AA41" s="4028"/>
      <c r="AB41" s="4029"/>
      <c r="AC41" s="4027" t="str">
        <f>INDEX(PT_DIFFERENTIATION_NTAR,MATCH(A41,PT_DIFFERENTIATION_NTAR_ID,0))</f>
        <v/>
      </c>
      <c r="AD41" s="4028"/>
      <c r="AE41" s="4028"/>
      <c r="AF41" s="4028"/>
      <c r="AG41" s="4028"/>
      <c r="AH41" s="4028"/>
      <c r="AI41" s="4028"/>
      <c r="AJ41" s="4029"/>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9">
        <v>23</v>
      </c>
    </row>
    <row r="42" spans="1:43" ht="24" customHeight="1">
      <c r="A42" s="1287" t="s">
        <v>474</v>
      </c>
      <c r="B42" s="1287" t="s">
        <v>475</v>
      </c>
      <c r="C42" s="1287"/>
      <c r="D42" s="1287"/>
      <c r="E42" s="4034"/>
      <c r="F42" s="4033">
        <v>1</v>
      </c>
      <c r="G42" s="1287"/>
      <c r="H42" s="1287"/>
      <c r="I42" s="1287"/>
      <c r="J42" s="1287"/>
      <c r="K42" s="1287"/>
      <c r="L42" s="1288"/>
      <c r="M42" s="1289"/>
      <c r="N42" s="1289"/>
      <c r="O42" s="1289"/>
      <c r="P42" s="1411"/>
      <c r="Q42" s="286"/>
      <c r="R42" s="287"/>
      <c r="S42" s="1417" t="str">
        <f>INDEX(PT_DIFFERENTIATION_NUM_TER,MATCH(B42,PT_DIFFERENTIATION_TER_ID,0))</f>
        <v>.</v>
      </c>
      <c r="T42" s="243" t="s">
        <v>605</v>
      </c>
      <c r="U42" s="235"/>
      <c r="V42" s="4027"/>
      <c r="W42" s="4028"/>
      <c r="X42" s="4028"/>
      <c r="Y42" s="4028"/>
      <c r="Z42" s="4028"/>
      <c r="AA42" s="4028"/>
      <c r="AB42" s="4029"/>
      <c r="AC42" s="4027" t="str">
        <f>INDEX(PT_DIFFERENTIATION_TER,MATCH(B42,PT_DIFFERENTIATION_TER_ID,0))</f>
        <v/>
      </c>
      <c r="AD42" s="4028"/>
      <c r="AE42" s="4028"/>
      <c r="AF42" s="4028"/>
      <c r="AG42" s="4028"/>
      <c r="AH42" s="4028"/>
      <c r="AI42" s="4028"/>
      <c r="AJ42" s="4029"/>
      <c r="AK42" s="1182" t="s">
        <v>606</v>
      </c>
      <c r="AM42" s="434"/>
      <c r="AN42" s="434" t="str">
        <f t="shared" si="1"/>
        <v>Территория действия тарифа</v>
      </c>
      <c r="AO42" s="434"/>
      <c r="AP42" s="434"/>
      <c r="AQ42" s="1079">
        <v>23</v>
      </c>
    </row>
    <row r="43" spans="1:43" ht="24" customHeight="1">
      <c r="A43" s="1287" t="s">
        <v>474</v>
      </c>
      <c r="B43" s="1287" t="s">
        <v>475</v>
      </c>
      <c r="C43" s="1287" t="s">
        <v>476</v>
      </c>
      <c r="D43" s="1287"/>
      <c r="E43" s="4034"/>
      <c r="F43" s="4034"/>
      <c r="G43" s="4033">
        <v>1</v>
      </c>
      <c r="H43" s="1287"/>
      <c r="I43" s="1287"/>
      <c r="J43" s="1287"/>
      <c r="K43" s="1287"/>
      <c r="L43" s="1288"/>
      <c r="M43" s="1289"/>
      <c r="N43" s="1289"/>
      <c r="O43" s="1289"/>
      <c r="P43" s="288"/>
      <c r="Q43" s="286"/>
      <c r="R43" s="287"/>
      <c r="S43" s="1417" t="str">
        <f>INDEX(PT_DIFFERENTIATION_NUM_CS,MATCH(C43,PT_DIFFERENTIATION_CS_ID,0))</f>
        <v>..</v>
      </c>
      <c r="T43" s="244" t="s">
        <v>725</v>
      </c>
      <c r="U43" s="235"/>
      <c r="V43" s="4027"/>
      <c r="W43" s="4028"/>
      <c r="X43" s="4028"/>
      <c r="Y43" s="4028"/>
      <c r="Z43" s="4028"/>
      <c r="AA43" s="4028"/>
      <c r="AB43" s="4029"/>
      <c r="AC43" s="4027" t="str">
        <f>INDEX(PT_DIFFERENTIATION_CS,MATCH(C43,PT_DIFFERENTIATION_CS_ID,0))</f>
        <v/>
      </c>
      <c r="AD43" s="4028"/>
      <c r="AE43" s="4028"/>
      <c r="AF43" s="4028"/>
      <c r="AG43" s="4028"/>
      <c r="AH43" s="4028"/>
      <c r="AI43" s="4028"/>
      <c r="AJ43" s="4029"/>
      <c r="AK43" s="1182" t="s">
        <v>726</v>
      </c>
      <c r="AM43" s="434"/>
      <c r="AN43" s="434" t="str">
        <f t="shared" si="1"/>
        <v>Наименование централизованной системы водоотведения</v>
      </c>
      <c r="AO43" s="434"/>
      <c r="AP43" s="434"/>
      <c r="AQ43" s="1079">
        <v>23</v>
      </c>
    </row>
    <row r="44" spans="1:43" ht="24" customHeight="1">
      <c r="A44" s="1287" t="s">
        <v>474</v>
      </c>
      <c r="B44" s="1287" t="s">
        <v>475</v>
      </c>
      <c r="C44" s="1287" t="s">
        <v>476</v>
      </c>
      <c r="D44" s="1287" t="s">
        <v>729</v>
      </c>
      <c r="E44" s="4034"/>
      <c r="F44" s="4034"/>
      <c r="G44" s="4034"/>
      <c r="H44" s="4034"/>
      <c r="I44" s="4035" t="str">
        <f>S43&amp;".1"</f>
        <v>...1</v>
      </c>
      <c r="J44" s="1287"/>
      <c r="K44" s="1287"/>
      <c r="L44" s="1288"/>
      <c r="P44" s="4037">
        <v>1</v>
      </c>
      <c r="Q44" s="1405"/>
      <c r="R44" s="290"/>
      <c r="S44" s="1417" t="str">
        <f>$I44</f>
        <v>...1</v>
      </c>
      <c r="T44" s="220" t="s">
        <v>692</v>
      </c>
      <c r="U44" s="235"/>
      <c r="V44" s="4101"/>
      <c r="W44" s="4102"/>
      <c r="X44" s="4102"/>
      <c r="Y44" s="4102"/>
      <c r="Z44" s="4102"/>
      <c r="AA44" s="4102"/>
      <c r="AB44" s="4103"/>
      <c r="AC44" s="4104"/>
      <c r="AD44" s="4105"/>
      <c r="AE44" s="4105"/>
      <c r="AF44" s="4105"/>
      <c r="AG44" s="4105"/>
      <c r="AH44" s="4105"/>
      <c r="AI44" s="4105"/>
      <c r="AJ44" s="4106"/>
      <c r="AK44" s="1182" t="s">
        <v>693</v>
      </c>
      <c r="AM44" s="434"/>
      <c r="AN44" s="434" t="str">
        <f t="shared" si="1"/>
        <v>Наименование признака дифференциации</v>
      </c>
      <c r="AO44" s="434"/>
      <c r="AP44" s="434"/>
      <c r="AQ44" s="1079">
        <v>23</v>
      </c>
    </row>
    <row r="45" spans="1:43" ht="24" customHeight="1">
      <c r="A45" s="1287" t="s">
        <v>474</v>
      </c>
      <c r="B45" s="1287" t="s">
        <v>475</v>
      </c>
      <c r="C45" s="1287" t="s">
        <v>476</v>
      </c>
      <c r="D45" s="1287" t="s">
        <v>729</v>
      </c>
      <c r="E45" s="4034"/>
      <c r="F45" s="4034"/>
      <c r="G45" s="4034"/>
      <c r="H45" s="4034"/>
      <c r="I45" s="4036"/>
      <c r="J45" s="4035" t="str">
        <f>I44&amp;".1"</f>
        <v>...1.1</v>
      </c>
      <c r="K45" s="1287"/>
      <c r="L45" s="1288" t="s">
        <v>614</v>
      </c>
      <c r="P45" s="4037"/>
      <c r="Q45" s="4037">
        <v>1</v>
      </c>
      <c r="R45" s="291"/>
      <c r="S45" s="1417" t="str">
        <f>$J45</f>
        <v>...1.1</v>
      </c>
      <c r="T45" s="221" t="s">
        <v>615</v>
      </c>
      <c r="U45" s="235"/>
      <c r="V45" s="4021"/>
      <c r="W45" s="4022"/>
      <c r="X45" s="4022"/>
      <c r="Y45" s="4022"/>
      <c r="Z45" s="4022"/>
      <c r="AA45" s="4022"/>
      <c r="AB45" s="4023"/>
      <c r="AC45" s="4021"/>
      <c r="AD45" s="4022"/>
      <c r="AE45" s="4022"/>
      <c r="AF45" s="4022"/>
      <c r="AG45" s="4022"/>
      <c r="AH45" s="4022"/>
      <c r="AI45" s="4022"/>
      <c r="AJ45" s="4023"/>
      <c r="AK45" s="1231" t="s">
        <v>694</v>
      </c>
      <c r="AM45" s="434"/>
      <c r="AN45" s="434" t="str">
        <f t="shared" si="1"/>
        <v>Группа потребителей</v>
      </c>
      <c r="AO45" s="434"/>
      <c r="AP45" s="434"/>
      <c r="AQ45" s="1079">
        <v>23</v>
      </c>
    </row>
    <row r="46" spans="1:43" ht="24" customHeight="1">
      <c r="A46" s="1287" t="s">
        <v>474</v>
      </c>
      <c r="B46" s="1287" t="s">
        <v>475</v>
      </c>
      <c r="C46" s="1287" t="s">
        <v>476</v>
      </c>
      <c r="D46" s="1287" t="s">
        <v>729</v>
      </c>
      <c r="E46" s="4034"/>
      <c r="F46" s="4034"/>
      <c r="G46" s="4034"/>
      <c r="H46" s="4034"/>
      <c r="I46" s="4036"/>
      <c r="J46" s="4036"/>
      <c r="K46" s="4035" t="str">
        <f>J45&amp;".1"</f>
        <v>...1.1.1</v>
      </c>
      <c r="L46" s="1288"/>
      <c r="P46" s="4037"/>
      <c r="Q46" s="4037"/>
      <c r="R46" s="291">
        <v>1</v>
      </c>
      <c r="S46" s="1417" t="str">
        <f>$K46</f>
        <v>...1.1.1</v>
      </c>
      <c r="T46" s="1361"/>
      <c r="U46" s="235"/>
      <c r="V46" s="1284"/>
      <c r="W46" s="1284"/>
      <c r="X46" s="1285"/>
      <c r="Y46" s="4031"/>
      <c r="Z46" s="4030" t="s">
        <v>53</v>
      </c>
      <c r="AA46" s="4031"/>
      <c r="AB46" s="4030" t="s">
        <v>53</v>
      </c>
      <c r="AC46" s="685"/>
      <c r="AD46" s="685"/>
      <c r="AE46" s="1181"/>
      <c r="AF46" s="4038"/>
      <c r="AG46" s="3899" t="s">
        <v>53</v>
      </c>
      <c r="AH46" s="4040"/>
      <c r="AI46" s="3899" t="s">
        <v>6</v>
      </c>
      <c r="AJ46" s="1362"/>
      <c r="AK46"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9">
        <v>23</v>
      </c>
    </row>
    <row r="47" spans="1:43" ht="0" hidden="1" customHeight="1">
      <c r="A47" s="1287" t="s">
        <v>474</v>
      </c>
      <c r="B47" s="1287" t="s">
        <v>475</v>
      </c>
      <c r="C47" s="1287" t="s">
        <v>476</v>
      </c>
      <c r="D47" s="1287" t="s">
        <v>729</v>
      </c>
      <c r="E47" s="4034"/>
      <c r="F47" s="4034"/>
      <c r="G47" s="4034"/>
      <c r="H47" s="4034"/>
      <c r="I47" s="4036"/>
      <c r="J47" s="4036"/>
      <c r="K47" s="4035"/>
      <c r="L47" s="1288"/>
      <c r="P47" s="4037"/>
      <c r="Q47" s="4037"/>
      <c r="R47" s="291"/>
      <c r="S47" s="1414"/>
      <c r="T47" s="235"/>
      <c r="U47" s="235"/>
      <c r="V47" s="1284"/>
      <c r="W47" s="1284"/>
      <c r="X47" s="263" t="str">
        <f>Y46&amp;"-"&amp;AA46</f>
        <v>-</v>
      </c>
      <c r="Y47" s="4030"/>
      <c r="Z47" s="4030"/>
      <c r="AA47" s="4030"/>
      <c r="AB47" s="4030"/>
      <c r="AC47" s="260"/>
      <c r="AD47" s="260"/>
      <c r="AE47" s="263" t="str">
        <f>AF46&amp;"-"&amp;AH46</f>
        <v>-</v>
      </c>
      <c r="AF47" s="4039"/>
      <c r="AG47" s="3899"/>
      <c r="AH47" s="4041"/>
      <c r="AI47" s="3899"/>
      <c r="AJ47" s="1363"/>
      <c r="AK47" s="4107"/>
      <c r="AM47" s="434"/>
      <c r="AN47" s="434" t="str">
        <f t="shared" si="1"/>
        <v/>
      </c>
      <c r="AO47" s="434"/>
      <c r="AP47" s="434"/>
      <c r="AQ47" s="1079">
        <v>0</v>
      </c>
    </row>
    <row r="48" spans="1:43" ht="21" customHeight="1">
      <c r="A48" s="1287" t="s">
        <v>474</v>
      </c>
      <c r="B48" s="1287" t="s">
        <v>475</v>
      </c>
      <c r="C48" s="1287" t="s">
        <v>476</v>
      </c>
      <c r="D48" s="1287" t="s">
        <v>729</v>
      </c>
      <c r="E48" s="4034"/>
      <c r="F48" s="4034"/>
      <c r="G48" s="4034"/>
      <c r="H48" s="4034"/>
      <c r="I48" s="4036"/>
      <c r="J48" s="4035"/>
      <c r="K48" s="1287"/>
      <c r="L48" s="1288"/>
      <c r="P48" s="4037"/>
      <c r="Q48" s="4037"/>
      <c r="R48" s="290"/>
      <c r="S48" s="1202"/>
      <c r="T48" s="222" t="s">
        <v>695</v>
      </c>
      <c r="U48" s="301"/>
      <c r="V48" s="301"/>
      <c r="W48" s="301"/>
      <c r="X48" s="301"/>
      <c r="Y48" s="301"/>
      <c r="Z48" s="301"/>
      <c r="AA48" s="301"/>
      <c r="AB48" s="301"/>
      <c r="AC48" s="301"/>
      <c r="AD48" s="301"/>
      <c r="AE48" s="301"/>
      <c r="AF48" s="301"/>
      <c r="AG48" s="301"/>
      <c r="AH48" s="301"/>
      <c r="AI48" s="301"/>
      <c r="AJ48" s="301"/>
      <c r="AK48" s="1182" t="s">
        <v>696</v>
      </c>
      <c r="AM48" s="434"/>
      <c r="AN48" s="434" t="str">
        <f t="shared" si="1"/>
        <v>Добавить значение признака дифференциации</v>
      </c>
      <c r="AO48" s="434"/>
      <c r="AP48" s="434"/>
      <c r="AQ48" s="1079">
        <v>20</v>
      </c>
    </row>
    <row r="49" spans="1:43" ht="21.95" customHeight="1">
      <c r="A49" s="1287" t="s">
        <v>474</v>
      </c>
      <c r="B49" s="1287" t="s">
        <v>475</v>
      </c>
      <c r="C49" s="1287" t="s">
        <v>476</v>
      </c>
      <c r="D49" s="1287" t="s">
        <v>729</v>
      </c>
      <c r="E49" s="4034"/>
      <c r="F49" s="4034"/>
      <c r="G49" s="4034"/>
      <c r="H49" s="4034"/>
      <c r="I49" s="4035"/>
      <c r="J49" s="1287"/>
      <c r="K49" s="1287"/>
      <c r="L49" s="1288"/>
      <c r="P49" s="4037"/>
      <c r="Q49" s="1405"/>
      <c r="R49" s="290"/>
      <c r="S49" s="1202"/>
      <c r="T49" s="299" t="s">
        <v>620</v>
      </c>
      <c r="U49" s="301"/>
      <c r="V49" s="301"/>
      <c r="W49" s="301"/>
      <c r="X49" s="301"/>
      <c r="Y49" s="301"/>
      <c r="Z49" s="301"/>
      <c r="AA49" s="301"/>
      <c r="AB49" s="300"/>
      <c r="AC49" s="301"/>
      <c r="AD49" s="301"/>
      <c r="AE49" s="301"/>
      <c r="AF49" s="301"/>
      <c r="AG49" s="301"/>
      <c r="AH49" s="301"/>
      <c r="AI49" s="300"/>
      <c r="AJ49" s="301"/>
      <c r="AK49" s="1364"/>
      <c r="AM49" s="434"/>
      <c r="AN49" s="434" t="str">
        <f t="shared" si="1"/>
        <v>Добавить группу потребителей</v>
      </c>
      <c r="AO49" s="434"/>
      <c r="AP49" s="434"/>
      <c r="AQ49" s="1079">
        <v>21</v>
      </c>
    </row>
    <row r="50" spans="1:43" ht="21.95" customHeight="1">
      <c r="A50" s="1287" t="s">
        <v>474</v>
      </c>
      <c r="B50" s="1287" t="s">
        <v>475</v>
      </c>
      <c r="C50" s="1287" t="s">
        <v>476</v>
      </c>
      <c r="D50" s="1287" t="s">
        <v>729</v>
      </c>
      <c r="E50" s="4034"/>
      <c r="F50" s="4034"/>
      <c r="G50" s="4034"/>
      <c r="H50" s="4033"/>
      <c r="I50" s="1287"/>
      <c r="J50" s="1287"/>
      <c r="K50" s="1287"/>
      <c r="L50" s="1288"/>
      <c r="M50" s="1289"/>
      <c r="N50" s="1289"/>
      <c r="O50" s="471"/>
      <c r="P50" s="294"/>
      <c r="Q50" s="309"/>
      <c r="R50" s="289"/>
      <c r="S50" s="1202"/>
      <c r="T50" s="306" t="s">
        <v>697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9">
        <v>21</v>
      </c>
    </row>
    <row r="51" spans="1:43" s="1566" customFormat="1" ht="0" hidden="1" customHeight="1">
      <c r="A51" s="1267" t="s">
        <v>474</v>
      </c>
      <c r="B51" s="1267" t="s">
        <v>475</v>
      </c>
      <c r="C51" s="1238"/>
      <c r="D51" s="1238"/>
      <c r="E51" s="4034"/>
      <c r="F51" s="4033"/>
      <c r="G51" s="1238"/>
      <c r="H51" s="1238"/>
      <c r="I51" s="1238"/>
      <c r="J51" s="1238"/>
      <c r="K51" s="1238"/>
      <c r="L51" s="1418"/>
      <c r="M51" s="1245"/>
      <c r="N51" s="1245"/>
      <c r="P51" s="1240"/>
      <c r="Q51" s="1241"/>
      <c r="R51" s="1240"/>
      <c r="S51" s="1246"/>
      <c r="T51" s="1249" t="s">
        <v>236</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2">
        <v>0</v>
      </c>
    </row>
    <row r="52" spans="1:43" s="1566" customFormat="1" ht="0" hidden="1" customHeight="1">
      <c r="A52" s="1267" t="s">
        <v>474</v>
      </c>
      <c r="B52" s="1267"/>
      <c r="C52" s="1267"/>
      <c r="D52" s="1267"/>
      <c r="E52" s="4033"/>
      <c r="F52" s="1267"/>
      <c r="G52" s="1267"/>
      <c r="H52" s="1267"/>
      <c r="I52" s="1267"/>
      <c r="J52" s="1267"/>
      <c r="K52" s="1267"/>
      <c r="L52" s="1270"/>
      <c r="M52" s="1245"/>
      <c r="N52" s="1245"/>
      <c r="O52" s="452"/>
      <c r="P52" s="314"/>
      <c r="Q52" s="1268"/>
      <c r="R52" s="314"/>
      <c r="S52" s="1246"/>
      <c r="T52" s="1249" t="s">
        <v>286</v>
      </c>
      <c r="U52" s="1248"/>
      <c r="V52" s="1248"/>
      <c r="W52" s="1248"/>
      <c r="X52" s="1248"/>
      <c r="Y52" s="1248"/>
      <c r="Z52" s="1248"/>
      <c r="AA52" s="1248"/>
      <c r="AB52" s="1248"/>
      <c r="AC52" s="1248"/>
      <c r="AD52" s="1248"/>
      <c r="AE52" s="1248"/>
      <c r="AF52" s="1248"/>
      <c r="AG52" s="1248"/>
      <c r="AH52" s="1248"/>
      <c r="AI52" s="1248"/>
      <c r="AJ52" s="1248"/>
      <c r="AK52" s="1248"/>
      <c r="AM52" s="434"/>
      <c r="AN52" s="434" t="str">
        <f t="shared" si="1"/>
        <v>Добавить территорию для дифференциации</v>
      </c>
      <c r="AO52" s="434"/>
      <c r="AP52" s="434"/>
      <c r="AQ52" s="445">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287</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2">
        <v>0</v>
      </c>
    </row>
    <row r="54" spans="1:43" ht="11.45" customHeight="1">
      <c r="M54" s="1084"/>
      <c r="N54" s="1084"/>
      <c r="O54" s="471"/>
      <c r="P54" s="1079"/>
      <c r="Q54" s="1079"/>
      <c r="R54" s="1079"/>
      <c r="S54" s="1079"/>
      <c r="AL54" s="1079"/>
      <c r="AM54" s="1079"/>
      <c r="AN54" s="1079"/>
      <c r="AO54" s="1079"/>
      <c r="AP54" s="1079"/>
      <c r="AQ54" s="1079">
        <v>11</v>
      </c>
    </row>
    <row r="55" spans="1:43" ht="14.65" customHeight="1">
      <c r="O55" s="471"/>
      <c r="S55" s="1177"/>
      <c r="T55" s="4032"/>
      <c r="U55" s="4032"/>
      <c r="V55" s="4032"/>
      <c r="W55" s="4032"/>
      <c r="X55" s="4032"/>
      <c r="Y55" s="4032"/>
      <c r="Z55" s="4032"/>
      <c r="AA55" s="4032"/>
      <c r="AB55" s="4032"/>
      <c r="AC55" s="4032"/>
      <c r="AD55" s="4032"/>
      <c r="AE55" s="4032"/>
      <c r="AF55" s="4032"/>
      <c r="AG55" s="4032"/>
      <c r="AH55" s="4032"/>
      <c r="AI55" s="4032"/>
      <c r="AJ55" s="4032"/>
      <c r="AK55" s="4032"/>
      <c r="AQ55" s="1079">
        <v>14</v>
      </c>
    </row>
    <row r="56" spans="1:43" ht="14.65" customHeight="1">
      <c r="O56" s="471"/>
      <c r="AQ56" s="1079">
        <v>14</v>
      </c>
    </row>
    <row r="57" spans="1:43" ht="14.65" customHeight="1">
      <c r="O57" s="471"/>
      <c r="S57" s="1177"/>
      <c r="T57" s="4032"/>
      <c r="U57" s="4032"/>
      <c r="V57" s="4032"/>
      <c r="W57" s="4032"/>
      <c r="X57" s="4032"/>
      <c r="Y57" s="4032"/>
      <c r="Z57" s="4032"/>
      <c r="AA57" s="4032"/>
      <c r="AB57" s="4032"/>
      <c r="AC57" s="4032"/>
      <c r="AD57" s="4032"/>
      <c r="AE57" s="4032"/>
      <c r="AF57" s="4032"/>
      <c r="AG57" s="4032"/>
      <c r="AH57" s="4032"/>
      <c r="AI57" s="4032"/>
      <c r="AJ57" s="4032"/>
      <c r="AK57" s="4032"/>
      <c r="AQ57" s="1079">
        <v>14</v>
      </c>
    </row>
    <row r="58" spans="1:43" ht="22.5" hidden="1" customHeight="1">
      <c r="A58" s="1084" t="s">
        <v>69</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79">
        <v>3</v>
      </c>
      <c r="R58" s="279">
        <v>3</v>
      </c>
      <c r="S58" s="515">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5">
        <v>10</v>
      </c>
      <c r="AM58" s="445">
        <v>10</v>
      </c>
      <c r="AN58" s="445">
        <v>10</v>
      </c>
      <c r="AO58" s="445">
        <v>10</v>
      </c>
      <c r="AP58" s="445">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2"/>
      <c r="Y1" s="262"/>
      <c r="AE1" s="262"/>
      <c r="AF1" s="262"/>
      <c r="AQ1" s="1079" t="s">
        <v>1</v>
      </c>
    </row>
    <row r="2" spans="1:43" ht="23.25" hidden="1" customHeight="1">
      <c r="A2" s="1287"/>
      <c r="B2" s="1287"/>
      <c r="C2" s="1287"/>
      <c r="D2" s="1287"/>
      <c r="E2" s="4033">
        <v>1</v>
      </c>
      <c r="F2" s="1287"/>
      <c r="G2" s="1287"/>
      <c r="H2" s="1287"/>
      <c r="I2" s="1287"/>
      <c r="J2" s="1287"/>
      <c r="K2" s="1287"/>
      <c r="L2" s="1288"/>
      <c r="M2" s="1289"/>
      <c r="N2" s="1289"/>
      <c r="O2" s="1289"/>
      <c r="P2" s="295"/>
      <c r="Q2" s="294"/>
      <c r="R2" s="289"/>
      <c r="S2" s="1417" t="e">
        <f>INDEX(PT_DIFFERENTIATION_NUM_NTAR,MATCH(A2,PT_DIFFERENTIATION_NTAR_ID,0))</f>
        <v>#N/A</v>
      </c>
      <c r="T2" s="233" t="s">
        <v>195</v>
      </c>
      <c r="U2" s="235"/>
      <c r="V2" s="4027"/>
      <c r="W2" s="4028"/>
      <c r="X2" s="4028"/>
      <c r="Y2" s="4028"/>
      <c r="Z2" s="4028"/>
      <c r="AA2" s="4028"/>
      <c r="AB2" s="4029"/>
      <c r="AC2" s="4027" t="e">
        <f>INDEX(PT_DIFFERENTIATION_NTAR,MATCH(A2,PT_DIFFERENTIATION_NTAR_ID,0))</f>
        <v>#N/A</v>
      </c>
      <c r="AD2" s="4028"/>
      <c r="AE2" s="4028"/>
      <c r="AF2" s="4028"/>
      <c r="AG2" s="4028"/>
      <c r="AH2" s="4028"/>
      <c r="AI2" s="4028"/>
      <c r="AJ2" s="4029"/>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9">
        <v>0</v>
      </c>
    </row>
    <row r="3" spans="1:43" ht="23.25" hidden="1" customHeight="1">
      <c r="A3" s="1287"/>
      <c r="B3" s="1287"/>
      <c r="C3" s="1287"/>
      <c r="D3" s="1287"/>
      <c r="E3" s="4034"/>
      <c r="F3" s="4033">
        <v>1</v>
      </c>
      <c r="G3" s="1287"/>
      <c r="H3" s="1287"/>
      <c r="I3" s="1287"/>
      <c r="J3" s="1287"/>
      <c r="K3" s="1287"/>
      <c r="L3" s="1288"/>
      <c r="M3" s="1289"/>
      <c r="N3" s="1289"/>
      <c r="O3" s="1289"/>
      <c r="P3" s="1411"/>
      <c r="Q3" s="286"/>
      <c r="R3" s="287"/>
      <c r="S3" s="1417" t="e">
        <f>INDEX(PT_DIFFERENTIATION_NUM_TER,MATCH(B3,PT_DIFFERENTIATION_TER_ID,0))</f>
        <v>#N/A</v>
      </c>
      <c r="T3" s="243" t="s">
        <v>605</v>
      </c>
      <c r="U3" s="235"/>
      <c r="V3" s="4027"/>
      <c r="W3" s="4028"/>
      <c r="X3" s="4028"/>
      <c r="Y3" s="4028"/>
      <c r="Z3" s="4028"/>
      <c r="AA3" s="4028"/>
      <c r="AB3" s="4029"/>
      <c r="AC3" s="4027" t="e">
        <f>INDEX(PT_DIFFERENTIATION_TER,MATCH(B3,PT_DIFFERENTIATION_TER_ID,0))</f>
        <v>#N/A</v>
      </c>
      <c r="AD3" s="4028"/>
      <c r="AE3" s="4028"/>
      <c r="AF3" s="4028"/>
      <c r="AG3" s="4028"/>
      <c r="AH3" s="4028"/>
      <c r="AI3" s="4028"/>
      <c r="AJ3" s="4029"/>
      <c r="AK3" s="1182" t="s">
        <v>606</v>
      </c>
      <c r="AM3" s="434"/>
      <c r="AN3" s="434" t="str">
        <f t="shared" si="0"/>
        <v>Территория действия тарифа</v>
      </c>
      <c r="AO3" s="434"/>
      <c r="AP3" s="434"/>
      <c r="AQ3" s="1079">
        <v>0</v>
      </c>
    </row>
    <row r="4" spans="1:43" ht="23.25" hidden="1" customHeight="1">
      <c r="A4" s="1287"/>
      <c r="B4" s="1287"/>
      <c r="C4" s="1287"/>
      <c r="D4" s="1287"/>
      <c r="E4" s="4034"/>
      <c r="F4" s="4034"/>
      <c r="G4" s="4033">
        <v>1</v>
      </c>
      <c r="H4" s="1287"/>
      <c r="I4" s="1287"/>
      <c r="J4" s="1287"/>
      <c r="K4" s="1287"/>
      <c r="L4" s="1288"/>
      <c r="M4" s="1289"/>
      <c r="N4" s="1289"/>
      <c r="O4" s="1289"/>
      <c r="P4" s="288"/>
      <c r="Q4" s="286"/>
      <c r="R4" s="287"/>
      <c r="S4" s="1417" t="e">
        <f>INDEX(PT_DIFFERENTIATION_NUM_CS,MATCH(C4,PT_DIFFERENTIATION_CS_ID,0))</f>
        <v>#N/A</v>
      </c>
      <c r="T4" s="244" t="s">
        <v>725</v>
      </c>
      <c r="U4" s="235"/>
      <c r="V4" s="4027"/>
      <c r="W4" s="4028"/>
      <c r="X4" s="4028"/>
      <c r="Y4" s="4028"/>
      <c r="Z4" s="4028"/>
      <c r="AA4" s="4028"/>
      <c r="AB4" s="4029"/>
      <c r="AC4" s="4027" t="e">
        <f>INDEX(PT_DIFFERENTIATION_CS,MATCH(C4,PT_DIFFERENTIATION_CS_ID,0))</f>
        <v>#N/A</v>
      </c>
      <c r="AD4" s="4028"/>
      <c r="AE4" s="4028"/>
      <c r="AF4" s="4028"/>
      <c r="AG4" s="4028"/>
      <c r="AH4" s="4028"/>
      <c r="AI4" s="4028"/>
      <c r="AJ4" s="4029"/>
      <c r="AK4" s="1182" t="s">
        <v>726</v>
      </c>
      <c r="AM4" s="434"/>
      <c r="AN4" s="434" t="str">
        <f t="shared" si="0"/>
        <v>Наименование централизованной системы водоотведения</v>
      </c>
      <c r="AO4" s="434"/>
      <c r="AP4" s="434"/>
      <c r="AQ4" s="1079">
        <v>0</v>
      </c>
    </row>
    <row r="5" spans="1:43" ht="23.25" hidden="1" customHeight="1">
      <c r="A5" s="1287"/>
      <c r="B5" s="1287"/>
      <c r="C5" s="1287"/>
      <c r="D5" s="1287"/>
      <c r="E5" s="4034"/>
      <c r="F5" s="4034"/>
      <c r="G5" s="4034"/>
      <c r="H5" s="4034"/>
      <c r="I5" s="4035" t="e">
        <f>S4&amp;".1"</f>
        <v>#N/A</v>
      </c>
      <c r="J5" s="1287"/>
      <c r="K5" s="1287"/>
      <c r="L5" s="1288"/>
      <c r="P5" s="4037">
        <v>1</v>
      </c>
      <c r="Q5" s="1405"/>
      <c r="R5" s="290"/>
      <c r="S5" s="1417" t="e">
        <f>$I5</f>
        <v>#N/A</v>
      </c>
      <c r="T5" s="220" t="s">
        <v>692</v>
      </c>
      <c r="U5" s="235"/>
      <c r="V5" s="4101"/>
      <c r="W5" s="4102"/>
      <c r="X5" s="4102"/>
      <c r="Y5" s="4102"/>
      <c r="Z5" s="4102"/>
      <c r="AA5" s="4102"/>
      <c r="AB5" s="4103"/>
      <c r="AC5" s="4104"/>
      <c r="AD5" s="4105"/>
      <c r="AE5" s="4105"/>
      <c r="AF5" s="4105"/>
      <c r="AG5" s="4105"/>
      <c r="AH5" s="4105"/>
      <c r="AI5" s="4105"/>
      <c r="AJ5" s="4106"/>
      <c r="AK5" s="1182" t="s">
        <v>693</v>
      </c>
      <c r="AM5" s="434"/>
      <c r="AN5" s="434" t="str">
        <f t="shared" si="0"/>
        <v>Наименование признака дифференциации</v>
      </c>
      <c r="AO5" s="434"/>
      <c r="AP5" s="434"/>
      <c r="AQ5" s="1079">
        <v>0</v>
      </c>
    </row>
    <row r="6" spans="1:43" ht="23.25" hidden="1" customHeight="1">
      <c r="A6" s="1287"/>
      <c r="B6" s="1287"/>
      <c r="C6" s="1287"/>
      <c r="D6" s="1287"/>
      <c r="E6" s="4034"/>
      <c r="F6" s="4034"/>
      <c r="G6" s="4034"/>
      <c r="H6" s="4034"/>
      <c r="I6" s="4036"/>
      <c r="J6" s="4035" t="e">
        <f>I5&amp;".1"</f>
        <v>#N/A</v>
      </c>
      <c r="K6" s="1287"/>
      <c r="L6" s="1288" t="s">
        <v>614</v>
      </c>
      <c r="P6" s="4037"/>
      <c r="Q6" s="4037">
        <v>1</v>
      </c>
      <c r="R6" s="291"/>
      <c r="S6" s="1417" t="e">
        <f>$J6</f>
        <v>#N/A</v>
      </c>
      <c r="T6" s="221" t="s">
        <v>615</v>
      </c>
      <c r="U6" s="235"/>
      <c r="V6" s="4021"/>
      <c r="W6" s="4022"/>
      <c r="X6" s="4022"/>
      <c r="Y6" s="4022"/>
      <c r="Z6" s="4022"/>
      <c r="AA6" s="4022"/>
      <c r="AB6" s="4023"/>
      <c r="AC6" s="4021"/>
      <c r="AD6" s="4022"/>
      <c r="AE6" s="4022"/>
      <c r="AF6" s="4022"/>
      <c r="AG6" s="4022"/>
      <c r="AH6" s="4022"/>
      <c r="AI6" s="4022"/>
      <c r="AJ6" s="4023"/>
      <c r="AK6" s="1231" t="s">
        <v>694</v>
      </c>
      <c r="AM6" s="434"/>
      <c r="AN6" s="434" t="str">
        <f t="shared" si="0"/>
        <v>Группа потребителей</v>
      </c>
      <c r="AO6" s="434"/>
      <c r="AP6" s="434"/>
      <c r="AQ6" s="1079">
        <v>0</v>
      </c>
    </row>
    <row r="7" spans="1:43" ht="23.25" hidden="1" customHeight="1">
      <c r="A7" s="1287"/>
      <c r="B7" s="1287"/>
      <c r="C7" s="1287"/>
      <c r="D7" s="1287"/>
      <c r="E7" s="4034"/>
      <c r="F7" s="4034"/>
      <c r="G7" s="4034"/>
      <c r="H7" s="4034"/>
      <c r="I7" s="4036"/>
      <c r="J7" s="4036"/>
      <c r="K7" s="4035" t="e">
        <f>J6&amp;".1"</f>
        <v>#N/A</v>
      </c>
      <c r="L7" s="1288"/>
      <c r="P7" s="4037"/>
      <c r="Q7" s="4037"/>
      <c r="R7" s="291">
        <v>1</v>
      </c>
      <c r="S7" s="1417" t="e">
        <f>$K7</f>
        <v>#N/A</v>
      </c>
      <c r="T7" s="1361"/>
      <c r="U7" s="235"/>
      <c r="V7" s="685"/>
      <c r="W7" s="685"/>
      <c r="X7" s="1181"/>
      <c r="Y7" s="4038"/>
      <c r="Z7" s="3899" t="s">
        <v>53</v>
      </c>
      <c r="AA7" s="4038"/>
      <c r="AB7" s="3899" t="s">
        <v>53</v>
      </c>
      <c r="AC7" s="685"/>
      <c r="AD7" s="685"/>
      <c r="AE7" s="1181"/>
      <c r="AF7" s="4038"/>
      <c r="AG7" s="3899" t="s">
        <v>53</v>
      </c>
      <c r="AH7" s="4040"/>
      <c r="AI7" s="3899" t="s">
        <v>53</v>
      </c>
      <c r="AJ7" s="1362"/>
      <c r="AK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9">
        <v>0</v>
      </c>
    </row>
    <row r="8" spans="1:43" ht="14.25" hidden="1" customHeight="1">
      <c r="A8" s="1287"/>
      <c r="B8" s="1287"/>
      <c r="C8" s="1287"/>
      <c r="D8" s="1287"/>
      <c r="E8" s="4034"/>
      <c r="F8" s="4034"/>
      <c r="G8" s="4034"/>
      <c r="H8" s="4034"/>
      <c r="I8" s="4036"/>
      <c r="J8" s="4036"/>
      <c r="K8" s="4035"/>
      <c r="L8" s="1288"/>
      <c r="P8" s="4037"/>
      <c r="Q8" s="4037"/>
      <c r="R8" s="291"/>
      <c r="S8" s="1414"/>
      <c r="T8" s="235"/>
      <c r="U8" s="235"/>
      <c r="V8" s="260"/>
      <c r="W8" s="260"/>
      <c r="X8" s="263" t="str">
        <f>Y7&amp;"-"&amp;AA7</f>
        <v>-</v>
      </c>
      <c r="Y8" s="4039"/>
      <c r="Z8" s="3899"/>
      <c r="AA8" s="4039"/>
      <c r="AB8" s="3899"/>
      <c r="AC8" s="260"/>
      <c r="AD8" s="260"/>
      <c r="AE8" s="263" t="str">
        <f>AF7&amp;"-"&amp;AH7</f>
        <v>-</v>
      </c>
      <c r="AF8" s="4039"/>
      <c r="AG8" s="3899"/>
      <c r="AH8" s="4041"/>
      <c r="AI8" s="3899"/>
      <c r="AJ8" s="1363"/>
      <c r="AK8" s="4107"/>
      <c r="AM8" s="434"/>
      <c r="AN8" s="434" t="str">
        <f t="shared" si="0"/>
        <v/>
      </c>
      <c r="AO8" s="434"/>
      <c r="AP8" s="434"/>
      <c r="AQ8" s="1079">
        <v>0</v>
      </c>
    </row>
    <row r="9" spans="1:43" ht="21" hidden="1" customHeight="1">
      <c r="A9" s="1287"/>
      <c r="B9" s="1287"/>
      <c r="C9" s="1287"/>
      <c r="D9" s="1287"/>
      <c r="E9" s="4034"/>
      <c r="F9" s="4034"/>
      <c r="G9" s="4034"/>
      <c r="H9" s="4034"/>
      <c r="I9" s="4036"/>
      <c r="J9" s="4035"/>
      <c r="K9" s="1287"/>
      <c r="L9" s="1288"/>
      <c r="P9" s="4037"/>
      <c r="Q9" s="4037"/>
      <c r="R9" s="290"/>
      <c r="S9" s="1202"/>
      <c r="T9" s="222" t="s">
        <v>695</v>
      </c>
      <c r="U9" s="301"/>
      <c r="V9" s="301"/>
      <c r="W9" s="301"/>
      <c r="X9" s="301"/>
      <c r="Y9" s="301"/>
      <c r="Z9" s="301"/>
      <c r="AA9" s="301"/>
      <c r="AB9" s="301"/>
      <c r="AC9" s="301"/>
      <c r="AD9" s="301"/>
      <c r="AE9" s="301"/>
      <c r="AF9" s="301"/>
      <c r="AG9" s="301"/>
      <c r="AH9" s="301"/>
      <c r="AI9" s="301"/>
      <c r="AJ9" s="301"/>
      <c r="AK9" s="1182" t="s">
        <v>696</v>
      </c>
      <c r="AM9" s="434"/>
      <c r="AN9" s="434" t="str">
        <f t="shared" si="0"/>
        <v>Добавить значение признака дифференциации</v>
      </c>
      <c r="AO9" s="434"/>
      <c r="AP9" s="434"/>
      <c r="AQ9" s="1079">
        <v>0</v>
      </c>
    </row>
    <row r="10" spans="1:43" ht="21" hidden="1" customHeight="1">
      <c r="A10" s="1287"/>
      <c r="B10" s="1287"/>
      <c r="C10" s="1287"/>
      <c r="D10" s="1287"/>
      <c r="E10" s="4034"/>
      <c r="F10" s="4034"/>
      <c r="G10" s="4034"/>
      <c r="H10" s="4034"/>
      <c r="I10" s="4035"/>
      <c r="J10" s="1287"/>
      <c r="K10" s="1287"/>
      <c r="L10" s="1288"/>
      <c r="P10" s="4037"/>
      <c r="Q10" s="1405"/>
      <c r="R10" s="290"/>
      <c r="S10" s="1202"/>
      <c r="T10" s="299" t="s">
        <v>620</v>
      </c>
      <c r="U10" s="301"/>
      <c r="V10" s="301"/>
      <c r="W10" s="301"/>
      <c r="X10" s="301"/>
      <c r="Y10" s="301"/>
      <c r="Z10" s="301"/>
      <c r="AA10" s="301"/>
      <c r="AB10" s="300"/>
      <c r="AC10" s="301"/>
      <c r="AD10" s="301"/>
      <c r="AE10" s="301"/>
      <c r="AF10" s="301"/>
      <c r="AG10" s="301"/>
      <c r="AH10" s="301"/>
      <c r="AI10" s="300"/>
      <c r="AJ10" s="301"/>
      <c r="AK10" s="1364"/>
      <c r="AM10" s="434"/>
      <c r="AN10" s="434" t="str">
        <f t="shared" si="0"/>
        <v>Добавить группу потребителей</v>
      </c>
      <c r="AO10" s="434"/>
      <c r="AP10" s="434"/>
      <c r="AQ10" s="1079">
        <v>0</v>
      </c>
    </row>
    <row r="11" spans="1:43" ht="21" hidden="1" customHeight="1">
      <c r="A11" s="1287"/>
      <c r="B11" s="1287"/>
      <c r="C11" s="1287"/>
      <c r="D11" s="1287"/>
      <c r="E11" s="4034"/>
      <c r="F11" s="4034"/>
      <c r="G11" s="4034"/>
      <c r="H11" s="4033"/>
      <c r="I11" s="1287"/>
      <c r="J11" s="1287"/>
      <c r="K11" s="1287"/>
      <c r="L11" s="1288"/>
      <c r="M11" s="1289"/>
      <c r="N11" s="1289"/>
      <c r="O11" s="471"/>
      <c r="P11" s="294"/>
      <c r="Q11" s="309"/>
      <c r="R11" s="289"/>
      <c r="S11" s="1202"/>
      <c r="T11" s="306" t="s">
        <v>697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9">
        <v>0</v>
      </c>
    </row>
    <row r="12" spans="1:43" s="1566" customFormat="1" ht="14.25" hidden="1" customHeight="1">
      <c r="A12" s="1267"/>
      <c r="B12" s="1267"/>
      <c r="C12" s="1238"/>
      <c r="D12" s="1238"/>
      <c r="E12" s="4034"/>
      <c r="F12" s="4033"/>
      <c r="G12" s="1238"/>
      <c r="H12" s="1238"/>
      <c r="I12" s="1238"/>
      <c r="J12" s="1238"/>
      <c r="K12" s="1238"/>
      <c r="L12" s="1418"/>
      <c r="M12" s="1245"/>
      <c r="N12" s="1245"/>
      <c r="P12" s="1240"/>
      <c r="Q12" s="1241"/>
      <c r="R12" s="1240"/>
      <c r="S12" s="1246"/>
      <c r="T12" s="1249" t="s">
        <v>236</v>
      </c>
      <c r="U12" s="1248"/>
      <c r="V12" s="1248"/>
      <c r="W12" s="1248"/>
      <c r="X12" s="1248"/>
      <c r="Y12" s="1248"/>
      <c r="Z12" s="1248"/>
      <c r="AA12" s="1248"/>
      <c r="AB12" s="1248"/>
      <c r="AC12" s="1248"/>
      <c r="AD12" s="1248"/>
      <c r="AE12" s="1248"/>
      <c r="AF12" s="1248"/>
      <c r="AG12" s="1248"/>
      <c r="AH12" s="1248"/>
      <c r="AI12" s="1248"/>
      <c r="AJ12" s="1248"/>
      <c r="AK12" s="1248"/>
      <c r="AM12" s="717"/>
      <c r="AN12" s="717" t="str">
        <f t="shared" si="0"/>
        <v>Добавить централизованную систему для дифференциации</v>
      </c>
      <c r="AO12" s="717"/>
      <c r="AP12" s="717"/>
      <c r="AQ12" s="452">
        <v>0</v>
      </c>
    </row>
    <row r="13" spans="1:43" s="1566" customFormat="1" ht="14.25" hidden="1" customHeight="1">
      <c r="A13" s="1267"/>
      <c r="B13" s="1267"/>
      <c r="C13" s="1267"/>
      <c r="D13" s="1267"/>
      <c r="E13" s="4033"/>
      <c r="F13" s="1267"/>
      <c r="G13" s="1267"/>
      <c r="H13" s="1267"/>
      <c r="I13" s="1267"/>
      <c r="J13" s="1267"/>
      <c r="K13" s="1267"/>
      <c r="L13" s="1270"/>
      <c r="M13" s="1245"/>
      <c r="N13" s="1245"/>
      <c r="O13" s="452"/>
      <c r="P13" s="314"/>
      <c r="Q13" s="1268"/>
      <c r="R13" s="314"/>
      <c r="S13" s="1246"/>
      <c r="T13" s="1249" t="s">
        <v>286</v>
      </c>
      <c r="U13" s="1248"/>
      <c r="V13" s="1248"/>
      <c r="W13" s="1248"/>
      <c r="X13" s="1248"/>
      <c r="Y13" s="1248"/>
      <c r="Z13" s="1248"/>
      <c r="AA13" s="1248"/>
      <c r="AB13" s="1248"/>
      <c r="AC13" s="1248"/>
      <c r="AD13" s="1248"/>
      <c r="AE13" s="1248"/>
      <c r="AF13" s="1248"/>
      <c r="AG13" s="1248"/>
      <c r="AH13" s="1248"/>
      <c r="AI13" s="1248"/>
      <c r="AJ13" s="1248"/>
      <c r="AK13" s="1248"/>
      <c r="AM13" s="434"/>
      <c r="AN13" s="434" t="str">
        <f t="shared" si="0"/>
        <v>Добавить территорию для дифференциации</v>
      </c>
      <c r="AO13" s="434"/>
      <c r="AP13" s="434"/>
      <c r="AQ13" s="445">
        <v>0</v>
      </c>
    </row>
    <row r="14" spans="1:43" ht="14.25" hidden="1" customHeight="1">
      <c r="AB14" s="262"/>
      <c r="AI14" s="262"/>
      <c r="AQ14" s="1079">
        <v>0</v>
      </c>
    </row>
    <row r="15" spans="1:43" ht="14.25" hidden="1" customHeight="1">
      <c r="AC15" s="1284"/>
      <c r="AD15" s="1284"/>
      <c r="AE15" s="1285"/>
      <c r="AF15" s="4031"/>
      <c r="AG15" s="4030" t="s">
        <v>53</v>
      </c>
      <c r="AH15" s="4031"/>
      <c r="AI15" s="4030" t="s">
        <v>53</v>
      </c>
      <c r="AQ15" s="1079">
        <v>0</v>
      </c>
    </row>
    <row r="16" spans="1:43" ht="14.25" hidden="1" customHeight="1">
      <c r="AC16" s="1284"/>
      <c r="AD16" s="1284"/>
      <c r="AE16" s="263" t="str">
        <f>AF15&amp;"-"&amp;AH15</f>
        <v>-</v>
      </c>
      <c r="AF16" s="4030"/>
      <c r="AG16" s="4030"/>
      <c r="AH16" s="4030"/>
      <c r="AI16" s="4030"/>
      <c r="AQ16" s="1079">
        <v>0</v>
      </c>
    </row>
    <row r="17" spans="1:43" ht="14.25" hidden="1" customHeight="1">
      <c r="AI17" s="262"/>
      <c r="AQ17" s="1079">
        <v>0</v>
      </c>
    </row>
    <row r="18" spans="1:43" s="1290" customFormat="1" ht="22.5" hidden="1" customHeight="1">
      <c r="L18" s="1402"/>
      <c r="M18" s="1286"/>
      <c r="N18" s="1286"/>
      <c r="O18" s="1291" t="s">
        <v>622</v>
      </c>
      <c r="P18" s="1286"/>
      <c r="Q18" s="1295"/>
      <c r="R18" s="1295"/>
      <c r="S18" s="663"/>
      <c r="Y18" s="1291"/>
      <c r="AA18" s="1291"/>
      <c r="AF18" s="1291"/>
      <c r="AH18" s="1291"/>
      <c r="AL18" s="445"/>
      <c r="AM18" s="445"/>
      <c r="AN18" s="445"/>
      <c r="AO18" s="445"/>
      <c r="AP18" s="445"/>
      <c r="AQ18" s="1084">
        <v>0</v>
      </c>
    </row>
    <row r="19" spans="1:43" s="1290" customFormat="1" ht="14.25" hidden="1" customHeight="1">
      <c r="L19" s="1402"/>
      <c r="M19" s="1286"/>
      <c r="N19" s="1286"/>
      <c r="O19" s="1286"/>
      <c r="P19" s="1286"/>
      <c r="Q19" s="1295"/>
      <c r="R19" s="1295"/>
      <c r="S19" s="663"/>
      <c r="AL19" s="445"/>
      <c r="AM19" s="445"/>
      <c r="AN19" s="445"/>
      <c r="AO19" s="445"/>
      <c r="AP19" s="445"/>
      <c r="AQ19" s="1084">
        <v>0</v>
      </c>
    </row>
    <row r="20" spans="1:43" s="1290" customFormat="1" ht="12" hidden="1" customHeight="1">
      <c r="L20" s="1402"/>
      <c r="M20" s="1286"/>
      <c r="N20" s="1286"/>
      <c r="O20" s="1288" t="s">
        <v>623</v>
      </c>
      <c r="P20" s="1286"/>
      <c r="Q20" s="1366"/>
      <c r="R20" s="1366"/>
      <c r="S20" s="663"/>
      <c r="T20" s="1084" t="s">
        <v>624</v>
      </c>
      <c r="Z20" s="121" t="s">
        <v>625</v>
      </c>
      <c r="AB20" s="121" t="s">
        <v>626</v>
      </c>
      <c r="AC20" s="1084" t="s">
        <v>624</v>
      </c>
      <c r="AG20" s="121" t="s">
        <v>627</v>
      </c>
      <c r="AI20" s="121" t="s">
        <v>626</v>
      </c>
      <c r="AQ20" s="1084">
        <v>0</v>
      </c>
    </row>
    <row r="21" spans="1:43" ht="14.25" hidden="1" customHeight="1">
      <c r="O21" s="1288"/>
      <c r="AQ21" s="1079">
        <v>0</v>
      </c>
    </row>
    <row r="22" spans="1:43" ht="14.25" hidden="1" customHeight="1">
      <c r="O22" s="1288"/>
      <c r="AQ22" s="1079">
        <v>0</v>
      </c>
    </row>
    <row r="23" spans="1:43" ht="14.65" customHeight="1">
      <c r="Q23" s="310"/>
      <c r="R23" s="310"/>
      <c r="S23" s="1199"/>
      <c r="T23" s="297"/>
      <c r="U23" s="297"/>
      <c r="V23" s="443"/>
      <c r="W23" s="443"/>
      <c r="X23" s="443"/>
      <c r="Y23" s="443"/>
      <c r="Z23" s="443"/>
      <c r="AA23" s="443"/>
      <c r="AB23" s="443"/>
      <c r="AC23" s="443"/>
      <c r="AD23" s="443"/>
      <c r="AE23" s="443"/>
      <c r="AF23" s="443"/>
      <c r="AG23" s="443"/>
      <c r="AH23" s="443"/>
      <c r="AI23" s="443"/>
      <c r="AQ23" s="1079">
        <v>14</v>
      </c>
    </row>
    <row r="24" spans="1:43" ht="14.65" customHeight="1">
      <c r="Q24" s="310"/>
      <c r="R24" s="310"/>
      <c r="S24" s="40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4014"/>
      <c r="U24" s="4014"/>
      <c r="V24" s="4014"/>
      <c r="W24" s="4014"/>
      <c r="X24" s="4014"/>
      <c r="Y24" s="4014"/>
      <c r="Z24" s="4014"/>
      <c r="AA24" s="4014"/>
      <c r="AB24" s="4014"/>
      <c r="AC24" s="4014"/>
      <c r="AD24" s="4014"/>
      <c r="AE24" s="4014"/>
      <c r="AF24" s="4014"/>
      <c r="AG24" s="4014"/>
      <c r="AH24" s="4014"/>
      <c r="AI24" s="1167"/>
      <c r="AQ24" s="1079">
        <v>14</v>
      </c>
    </row>
    <row r="25" spans="1:43" ht="14.65" customHeight="1">
      <c r="Q25" s="310"/>
      <c r="R25" s="310"/>
      <c r="S25" s="3987" t="str">
        <f>IF(org=0,"Не определено",org)</f>
        <v>ООО "Смоленскрегионтеплоэнерго"</v>
      </c>
      <c r="T25" s="3987"/>
      <c r="U25" s="3987"/>
      <c r="V25" s="3987"/>
      <c r="W25" s="3987"/>
      <c r="X25" s="3987"/>
      <c r="Y25" s="3987"/>
      <c r="Z25" s="3987"/>
      <c r="AA25" s="3987"/>
      <c r="AB25" s="3987"/>
      <c r="AC25" s="3987"/>
      <c r="AD25" s="3987"/>
      <c r="AE25" s="3987"/>
      <c r="AF25" s="3987"/>
      <c r="AG25" s="3987"/>
      <c r="AH25" s="3987"/>
      <c r="AI25" s="1167"/>
      <c r="AQ25" s="1079">
        <v>14</v>
      </c>
    </row>
    <row r="26" spans="1:43" ht="14.25" hidden="1" customHeight="1">
      <c r="Q26" s="310"/>
      <c r="R26" s="310"/>
      <c r="S26" s="1199"/>
      <c r="T26" s="297"/>
      <c r="U26" s="297"/>
      <c r="V26" s="257"/>
      <c r="W26" s="257"/>
      <c r="X26" s="257"/>
      <c r="Y26" s="257"/>
      <c r="Z26" s="257"/>
      <c r="AA26" s="257"/>
      <c r="AB26" s="257"/>
      <c r="AC26" s="257"/>
      <c r="AD26" s="257"/>
      <c r="AE26" s="257"/>
      <c r="AF26" s="257"/>
      <c r="AG26" s="257"/>
      <c r="AH26" s="257"/>
      <c r="AI26" s="257"/>
      <c r="AJ26" s="443"/>
      <c r="AQ26" s="1079">
        <v>0</v>
      </c>
    </row>
    <row r="27" spans="1:43" s="1748" customFormat="1" ht="25.5" hidden="1" customHeight="1">
      <c r="A27" s="1292"/>
      <c r="B27" s="1292"/>
      <c r="C27" s="1292"/>
      <c r="D27" s="1292"/>
      <c r="E27" s="1292"/>
      <c r="F27" s="1292"/>
      <c r="G27" s="1292"/>
      <c r="H27" s="1292"/>
      <c r="I27" s="1292"/>
      <c r="J27" s="1292"/>
      <c r="K27" s="1292"/>
      <c r="L27" s="1293"/>
      <c r="M27" s="1292"/>
      <c r="N27" s="1292"/>
      <c r="O27" s="1292"/>
      <c r="S27" s="4024" t="s">
        <v>29</v>
      </c>
      <c r="T27" s="4024"/>
      <c r="U27" s="1296"/>
      <c r="V27" s="4026" t="str">
        <f>IF(TITLE_NAME_OR_PR_CHANGE="",IF(TITLE_NAME_OR_PR="","",TITLE_NAME_OR_PR),TITLE_NAME_OR_PR_CHANGE)</f>
        <v/>
      </c>
      <c r="W27" s="4026"/>
      <c r="X27" s="4026"/>
      <c r="Y27" s="4026"/>
      <c r="Z27" s="4026"/>
      <c r="AA27" s="4026"/>
      <c r="AB27" s="261"/>
      <c r="AC27" s="4026" t="str">
        <f>IF(TITLE_NAME_OR_PR_CHANGE="",IF(TITLE_NAME_OR_PR="","",TITLE_NAME_OR_PR),TITLE_NAME_OR_PR_CHANGE)</f>
        <v/>
      </c>
      <c r="AD27" s="4026"/>
      <c r="AE27" s="4026"/>
      <c r="AF27" s="4026"/>
      <c r="AG27" s="4026"/>
      <c r="AH27" s="4026"/>
      <c r="AI27" s="261"/>
      <c r="AJ27" s="261"/>
      <c r="AK27" s="215"/>
      <c r="AL27" s="302"/>
      <c r="AM27" s="302"/>
      <c r="AN27" s="302"/>
      <c r="AO27" s="302"/>
      <c r="AP27" s="302"/>
      <c r="AQ27" s="352">
        <v>0</v>
      </c>
    </row>
    <row r="28" spans="1:43" s="1748" customFormat="1" ht="18.75" hidden="1" customHeight="1">
      <c r="A28" s="1292"/>
      <c r="B28" s="1292"/>
      <c r="C28" s="1292"/>
      <c r="D28" s="1292"/>
      <c r="E28" s="1292"/>
      <c r="F28" s="1292"/>
      <c r="G28" s="1292"/>
      <c r="H28" s="1292"/>
      <c r="I28" s="1292"/>
      <c r="J28" s="1292"/>
      <c r="K28" s="1292"/>
      <c r="L28" s="1293"/>
      <c r="M28" s="1292"/>
      <c r="N28" s="1292"/>
      <c r="O28" s="1292"/>
      <c r="S28" s="4024" t="s">
        <v>628</v>
      </c>
      <c r="T28" s="4024"/>
      <c r="U28" s="1296"/>
      <c r="V28" s="4025">
        <f>IF(TITLE_DATE_PR_CHANGE="",IF(TITLE_DATE_PR="","",TITLE_DATE_PR),TITLE_DATE_PR_CHANGE)</f>
        <v>45765</v>
      </c>
      <c r="W28" s="4025"/>
      <c r="X28" s="4025"/>
      <c r="Y28" s="4025"/>
      <c r="Z28" s="4025"/>
      <c r="AA28" s="4025"/>
      <c r="AB28" s="261"/>
      <c r="AC28" s="4025">
        <f>IF(TITLE_DATE_PR_CHANGE="",IF(TITLE_DATE_PR="","",TITLE_DATE_PR),TITLE_DATE_PR_CHANGE)</f>
        <v>45765</v>
      </c>
      <c r="AD28" s="4025"/>
      <c r="AE28" s="4025"/>
      <c r="AF28" s="4025"/>
      <c r="AG28" s="4025"/>
      <c r="AH28" s="4025"/>
      <c r="AI28" s="261"/>
      <c r="AJ28" s="261"/>
      <c r="AK28" s="215"/>
      <c r="AL28" s="302"/>
      <c r="AM28" s="302"/>
      <c r="AN28" s="302"/>
      <c r="AO28" s="302"/>
      <c r="AP28" s="302"/>
      <c r="AQ28" s="352">
        <v>0</v>
      </c>
    </row>
    <row r="29" spans="1:43" s="1748" customFormat="1" ht="18.75" hidden="1" customHeight="1">
      <c r="A29" s="1292"/>
      <c r="B29" s="1292"/>
      <c r="C29" s="1292"/>
      <c r="D29" s="1292"/>
      <c r="E29" s="1292"/>
      <c r="F29" s="1292"/>
      <c r="G29" s="1292"/>
      <c r="H29" s="1292"/>
      <c r="I29" s="1292"/>
      <c r="J29" s="1292"/>
      <c r="K29" s="1292"/>
      <c r="L29" s="1293"/>
      <c r="M29" s="1292"/>
      <c r="N29" s="1292"/>
      <c r="O29" s="1292"/>
      <c r="S29" s="4024" t="s">
        <v>629</v>
      </c>
      <c r="T29" s="4024"/>
      <c r="U29" s="1296"/>
      <c r="V29" s="4026" t="str">
        <f>IF(TITLE_NUMBER_PR_CHANGE="",IF(TITLE_NUMBER_PR="","",TITLE_NUMBER_PR),TITLE_NUMBER_PR_CHANGE)</f>
        <v>917</v>
      </c>
      <c r="W29" s="4026"/>
      <c r="X29" s="4026"/>
      <c r="Y29" s="4026"/>
      <c r="Z29" s="4026"/>
      <c r="AA29" s="4026"/>
      <c r="AB29" s="261"/>
      <c r="AC29" s="4026" t="str">
        <f>IF(TITLE_NUMBER_PR_CHANGE="",IF(TITLE_NUMBER_PR="","",TITLE_NUMBER_PR),TITLE_NUMBER_PR_CHANGE)</f>
        <v>917</v>
      </c>
      <c r="AD29" s="4026"/>
      <c r="AE29" s="4026"/>
      <c r="AF29" s="4026"/>
      <c r="AG29" s="4026"/>
      <c r="AH29" s="4026"/>
      <c r="AI29" s="261"/>
      <c r="AJ29" s="261"/>
      <c r="AK29" s="215"/>
      <c r="AL29" s="302"/>
      <c r="AM29" s="302"/>
      <c r="AN29" s="302"/>
      <c r="AO29" s="302"/>
      <c r="AP29" s="302"/>
      <c r="AQ29" s="352">
        <v>0</v>
      </c>
    </row>
    <row r="30" spans="1:43" s="1748" customFormat="1" ht="18.75" hidden="1" customHeight="1">
      <c r="A30" s="1292"/>
      <c r="B30" s="1292"/>
      <c r="C30" s="1292"/>
      <c r="D30" s="1292"/>
      <c r="E30" s="1292"/>
      <c r="F30" s="1292"/>
      <c r="G30" s="1292"/>
      <c r="H30" s="1292"/>
      <c r="I30" s="1292"/>
      <c r="J30" s="1292"/>
      <c r="K30" s="1292"/>
      <c r="L30" s="1293"/>
      <c r="M30" s="1292"/>
      <c r="N30" s="1292"/>
      <c r="O30" s="1292"/>
      <c r="S30" s="4024" t="s">
        <v>30</v>
      </c>
      <c r="T30" s="4024"/>
      <c r="U30" s="1296"/>
      <c r="V30" s="4026" t="str">
        <f>IF(TITLE_IST_PUB_CHANGE="",IF(TITLE_IST_PUB="","",TITLE_IST_PUB),TITLE_IST_PUB_CHANGE)</f>
        <v/>
      </c>
      <c r="W30" s="4026"/>
      <c r="X30" s="4026"/>
      <c r="Y30" s="4026"/>
      <c r="Z30" s="4026"/>
      <c r="AA30" s="4026"/>
      <c r="AB30" s="261"/>
      <c r="AC30" s="4026" t="str">
        <f>IF(TITLE_IST_PUB_CHANGE="",IF(TITLE_IST_PUB="","",TITLE_IST_PUB),TITLE_IST_PUB_CHANGE)</f>
        <v/>
      </c>
      <c r="AD30" s="4026"/>
      <c r="AE30" s="4026"/>
      <c r="AF30" s="4026"/>
      <c r="AG30" s="4026"/>
      <c r="AH30" s="4026"/>
      <c r="AI30" s="261"/>
      <c r="AJ30" s="261"/>
      <c r="AK30" s="215"/>
      <c r="AL30" s="302"/>
      <c r="AM30" s="302"/>
      <c r="AN30" s="302"/>
      <c r="AO30" s="302"/>
      <c r="AP30" s="302"/>
      <c r="AQ30" s="352">
        <v>0</v>
      </c>
    </row>
    <row r="31" spans="1:43" ht="14.25" customHeight="1">
      <c r="Q31" s="310"/>
      <c r="R31" s="310"/>
      <c r="S31" s="1199"/>
      <c r="T31" s="297"/>
      <c r="U31" s="297"/>
      <c r="V31" s="257"/>
      <c r="W31" s="257"/>
      <c r="X31" s="257"/>
      <c r="Y31" s="257"/>
      <c r="Z31" s="257"/>
      <c r="AA31" s="257"/>
      <c r="AB31" s="257"/>
      <c r="AC31" s="257"/>
      <c r="AD31" s="257"/>
      <c r="AE31" s="257"/>
      <c r="AF31" s="257"/>
      <c r="AG31" s="257"/>
      <c r="AH31" s="257"/>
      <c r="AI31" s="257"/>
      <c r="AJ31" s="443"/>
      <c r="AQ31" s="1079">
        <v>0</v>
      </c>
    </row>
    <row r="32" spans="1:43" s="1748" customFormat="1" ht="18.75" customHeight="1">
      <c r="A32" s="1292"/>
      <c r="B32" s="1292"/>
      <c r="C32" s="1292"/>
      <c r="D32" s="1292"/>
      <c r="E32" s="1292"/>
      <c r="F32" s="1292"/>
      <c r="G32" s="1292"/>
      <c r="H32" s="1292"/>
      <c r="I32" s="1292"/>
      <c r="J32" s="1292"/>
      <c r="K32" s="1292"/>
      <c r="L32" s="1293"/>
      <c r="M32" s="1292"/>
      <c r="N32" s="1292"/>
      <c r="O32" s="1292"/>
      <c r="S32" s="4024" t="s">
        <v>630</v>
      </c>
      <c r="T32" s="4024"/>
      <c r="U32" s="1296"/>
      <c r="V32" s="4025">
        <f>IF(TITLE_DATE_PR_CHANGE="",IF(TITLE_DATE_PR="","",TITLE_DATE_PR),TITLE_DATE_PR_CHANGE)</f>
        <v>45765</v>
      </c>
      <c r="W32" s="4025"/>
      <c r="X32" s="4025"/>
      <c r="Y32" s="4025"/>
      <c r="Z32" s="4025"/>
      <c r="AA32" s="4025"/>
      <c r="AB32" s="261"/>
      <c r="AC32" s="4025">
        <f>IF(TITLE_DATE_PR_CHANGE="",IF(TITLE_DATE_PR="","",TITLE_DATE_PR),TITLE_DATE_PR_CHANGE)</f>
        <v>45765</v>
      </c>
      <c r="AD32" s="4025"/>
      <c r="AE32" s="4025"/>
      <c r="AF32" s="4025"/>
      <c r="AG32" s="4025"/>
      <c r="AH32" s="4025"/>
      <c r="AI32" s="261"/>
      <c r="AJ32" s="261"/>
      <c r="AK32" s="215"/>
      <c r="AL32" s="302"/>
      <c r="AM32" s="302"/>
      <c r="AN32" s="302"/>
      <c r="AO32" s="302"/>
      <c r="AP32" s="302"/>
      <c r="AQ32" s="352">
        <v>0</v>
      </c>
    </row>
    <row r="33" spans="1:43" s="1748" customFormat="1" ht="18.75" customHeight="1">
      <c r="A33" s="1292"/>
      <c r="B33" s="1292"/>
      <c r="C33" s="1292"/>
      <c r="D33" s="1292"/>
      <c r="E33" s="1292"/>
      <c r="F33" s="1292"/>
      <c r="G33" s="1292"/>
      <c r="H33" s="1292"/>
      <c r="I33" s="1292"/>
      <c r="J33" s="1292"/>
      <c r="K33" s="1292"/>
      <c r="L33" s="1293"/>
      <c r="M33" s="1292"/>
      <c r="N33" s="1292"/>
      <c r="O33" s="1292"/>
      <c r="S33" s="4024" t="s">
        <v>631</v>
      </c>
      <c r="T33" s="4024"/>
      <c r="U33" s="1296"/>
      <c r="V33" s="4026" t="str">
        <f>IF(TITLE_NUMBER_PR_CHANGE="",IF(TITLE_NUMBER_PR="","",TITLE_NUMBER_PR),TITLE_NUMBER_PR_CHANGE)</f>
        <v>917</v>
      </c>
      <c r="W33" s="4026"/>
      <c r="X33" s="4026"/>
      <c r="Y33" s="4026"/>
      <c r="Z33" s="4026"/>
      <c r="AA33" s="4026"/>
      <c r="AB33" s="261"/>
      <c r="AC33" s="4026" t="str">
        <f>IF(TITLE_NUMBER_PR_CHANGE="",IF(TITLE_NUMBER_PR="","",TITLE_NUMBER_PR),TITLE_NUMBER_PR_CHANGE)</f>
        <v>917</v>
      </c>
      <c r="AD33" s="4026"/>
      <c r="AE33" s="4026"/>
      <c r="AF33" s="4026"/>
      <c r="AG33" s="4026"/>
      <c r="AH33" s="4026"/>
      <c r="AI33" s="261"/>
      <c r="AJ33" s="261"/>
      <c r="AK33" s="215"/>
      <c r="AL33" s="302"/>
      <c r="AM33" s="302"/>
      <c r="AN33" s="302"/>
      <c r="AO33" s="302"/>
      <c r="AP33" s="302"/>
      <c r="AQ33" s="352">
        <v>0</v>
      </c>
    </row>
    <row r="34" spans="1:43"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412"/>
      <c r="V34" s="261"/>
      <c r="W34" s="261"/>
      <c r="X34" s="261"/>
      <c r="Y34" s="261"/>
      <c r="Z34" s="261"/>
      <c r="AA34" s="261"/>
      <c r="AB34" s="213" t="s">
        <v>632</v>
      </c>
      <c r="AC34" s="261"/>
      <c r="AD34" s="261"/>
      <c r="AE34" s="261"/>
      <c r="AF34" s="261"/>
      <c r="AG34" s="261"/>
      <c r="AH34" s="261"/>
      <c r="AI34" s="213" t="s">
        <v>632</v>
      </c>
      <c r="AL34" s="302"/>
      <c r="AM34" s="302"/>
      <c r="AN34" s="302"/>
      <c r="AO34" s="302"/>
      <c r="AP34" s="302"/>
      <c r="AQ34" s="352">
        <v>1</v>
      </c>
    </row>
    <row r="35" spans="1:43" ht="14.65" customHeight="1">
      <c r="Q35" s="310"/>
      <c r="R35" s="310"/>
      <c r="S35" s="1199"/>
      <c r="T35" s="297"/>
      <c r="U35" s="1168"/>
      <c r="V35" s="4045"/>
      <c r="W35" s="4045"/>
      <c r="X35" s="4045"/>
      <c r="Y35" s="4045"/>
      <c r="Z35" s="4045"/>
      <c r="AA35" s="4045"/>
      <c r="AB35" s="4045"/>
      <c r="AC35" s="4045"/>
      <c r="AD35" s="4045"/>
      <c r="AE35" s="4045"/>
      <c r="AF35" s="4045"/>
      <c r="AG35" s="4045"/>
      <c r="AH35" s="4045"/>
      <c r="AI35" s="4045"/>
      <c r="AQ35" s="1079">
        <v>14</v>
      </c>
    </row>
    <row r="36" spans="1:43" ht="14.65" customHeight="1">
      <c r="Q36" s="310"/>
      <c r="R36" s="310"/>
      <c r="S36" s="3889" t="s">
        <v>508</v>
      </c>
      <c r="T36" s="3889"/>
      <c r="U36" s="3889"/>
      <c r="V36" s="3889"/>
      <c r="W36" s="3889"/>
      <c r="X36" s="3889"/>
      <c r="Y36" s="3889"/>
      <c r="Z36" s="3889"/>
      <c r="AA36" s="3889"/>
      <c r="AB36" s="3889"/>
      <c r="AC36" s="3889"/>
      <c r="AD36" s="3889"/>
      <c r="AE36" s="3889"/>
      <c r="AF36" s="3889"/>
      <c r="AG36" s="3889"/>
      <c r="AH36" s="3889"/>
      <c r="AI36" s="3889"/>
      <c r="AJ36" s="3889"/>
      <c r="AK36" s="3889" t="s">
        <v>509</v>
      </c>
      <c r="AQ36" s="1079">
        <v>14</v>
      </c>
    </row>
    <row r="37" spans="1:43" ht="14.65" customHeight="1">
      <c r="Q37" s="310"/>
      <c r="R37" s="310"/>
      <c r="S37" s="4046" t="s">
        <v>75</v>
      </c>
      <c r="T37" s="3995" t="s">
        <v>633</v>
      </c>
      <c r="U37" s="236"/>
      <c r="V37" s="4047" t="s">
        <v>634</v>
      </c>
      <c r="W37" s="4048"/>
      <c r="X37" s="4048"/>
      <c r="Y37" s="4048"/>
      <c r="Z37" s="4048"/>
      <c r="AA37" s="4049"/>
      <c r="AB37" s="4050" t="s">
        <v>635</v>
      </c>
      <c r="AC37" s="4047" t="s">
        <v>634</v>
      </c>
      <c r="AD37" s="4048"/>
      <c r="AE37" s="4048"/>
      <c r="AF37" s="4048"/>
      <c r="AG37" s="4048"/>
      <c r="AH37" s="4049"/>
      <c r="AI37" s="4050" t="s">
        <v>636</v>
      </c>
      <c r="AJ37" s="4053" t="s">
        <v>637</v>
      </c>
      <c r="AK37" s="3889"/>
      <c r="AQ37" s="1079">
        <v>14</v>
      </c>
    </row>
    <row r="38" spans="1:43" ht="35.65" customHeight="1">
      <c r="Q38" s="310"/>
      <c r="R38" s="310"/>
      <c r="S38" s="4046"/>
      <c r="T38" s="3995"/>
      <c r="U38" s="958"/>
      <c r="V38" s="1407" t="s">
        <v>698</v>
      </c>
      <c r="W38" s="3870" t="s">
        <v>640</v>
      </c>
      <c r="X38" s="3869"/>
      <c r="Y38" s="3870" t="s">
        <v>641</v>
      </c>
      <c r="Z38" s="3875"/>
      <c r="AA38" s="3869"/>
      <c r="AB38" s="4051"/>
      <c r="AC38" s="1407" t="s">
        <v>698</v>
      </c>
      <c r="AD38" s="3870" t="s">
        <v>640</v>
      </c>
      <c r="AE38" s="3869"/>
      <c r="AF38" s="3870" t="s">
        <v>641</v>
      </c>
      <c r="AG38" s="3875"/>
      <c r="AH38" s="3869"/>
      <c r="AI38" s="4051"/>
      <c r="AJ38" s="4054"/>
      <c r="AK38" s="3889"/>
      <c r="AQ38" s="1079">
        <v>34</v>
      </c>
    </row>
    <row r="39" spans="1:43" ht="90.4" customHeight="1">
      <c r="A39" s="1294"/>
      <c r="B39" s="1294" t="s">
        <v>207</v>
      </c>
      <c r="C39" s="1294" t="s">
        <v>208</v>
      </c>
      <c r="D39" s="1294" t="s">
        <v>209</v>
      </c>
      <c r="E39" s="1288" t="s">
        <v>642</v>
      </c>
      <c r="F39" s="1288" t="s">
        <v>643</v>
      </c>
      <c r="G39" s="1288" t="s">
        <v>644</v>
      </c>
      <c r="H39" s="1288"/>
      <c r="I39" s="1288" t="s">
        <v>699</v>
      </c>
      <c r="J39" s="1288" t="s">
        <v>647</v>
      </c>
      <c r="K39" s="1288" t="s">
        <v>700</v>
      </c>
      <c r="L39" s="1288" t="s">
        <v>623</v>
      </c>
      <c r="Q39" s="310"/>
      <c r="R39" s="310"/>
      <c r="S39" s="4046"/>
      <c r="T39" s="3995"/>
      <c r="U39" s="237"/>
      <c r="V39" s="1407" t="s">
        <v>727</v>
      </c>
      <c r="W39" s="1146" t="s">
        <v>728</v>
      </c>
      <c r="X39" s="1146" t="s">
        <v>703</v>
      </c>
      <c r="Y39" s="1413" t="s">
        <v>651</v>
      </c>
      <c r="Z39" s="4000" t="s">
        <v>652</v>
      </c>
      <c r="AA39" s="4013"/>
      <c r="AB39" s="4052"/>
      <c r="AC39" s="1407" t="s">
        <v>727</v>
      </c>
      <c r="AD39" s="1146" t="s">
        <v>728</v>
      </c>
      <c r="AE39" s="1146" t="s">
        <v>703</v>
      </c>
      <c r="AF39" s="1413" t="s">
        <v>651</v>
      </c>
      <c r="AG39" s="4000" t="s">
        <v>652</v>
      </c>
      <c r="AH39" s="4013"/>
      <c r="AI39" s="4052"/>
      <c r="AJ39" s="4055"/>
      <c r="AK39" s="3889"/>
      <c r="AQ39" s="1079">
        <v>86</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184</v>
      </c>
      <c r="T40" s="1179" t="s">
        <v>89</v>
      </c>
      <c r="U40" s="1169" t="str">
        <f ca="1">OFFSET(U40,0,-1)</f>
        <v>2</v>
      </c>
      <c r="V40" s="1406">
        <f ca="1">OFFSET(V40,0,-1)+1</f>
        <v>3</v>
      </c>
      <c r="W40" s="1406">
        <f ca="1">OFFSET(W40,0,-1)+1</f>
        <v>4</v>
      </c>
      <c r="X40" s="1406">
        <f ca="1">OFFSET(X40,0,-1)+1</f>
        <v>5</v>
      </c>
      <c r="Y40" s="1406">
        <f ca="1">OFFSET(Y40,0,-1)+1</f>
        <v>6</v>
      </c>
      <c r="Z40" s="4044">
        <f ca="1">OFFSET(Z40,0,-1)+1</f>
        <v>7</v>
      </c>
      <c r="AA40" s="4044"/>
      <c r="AB40" s="1406">
        <f ca="1">OFFSET(AB40,0,-2)+1</f>
        <v>8</v>
      </c>
      <c r="AC40" s="1406">
        <f ca="1">OFFSET(AC40,0,-1)+1</f>
        <v>9</v>
      </c>
      <c r="AD40" s="1406">
        <f ca="1">OFFSET(AD40,0,-1)+1</f>
        <v>10</v>
      </c>
      <c r="AE40" s="1406">
        <f ca="1">OFFSET(AE40,0,-1)+1</f>
        <v>11</v>
      </c>
      <c r="AF40" s="1406">
        <f ca="1">OFFSET(AF40,0,-1)+1</f>
        <v>12</v>
      </c>
      <c r="AG40" s="4044">
        <f ca="1">OFFSET(AG40,0,-1)+1</f>
        <v>13</v>
      </c>
      <c r="AH40" s="4044"/>
      <c r="AI40" s="1406">
        <f ca="1">OFFSET(AI40,0,-2)+1</f>
        <v>14</v>
      </c>
      <c r="AJ40" s="1169">
        <f ca="1">OFFSET(AJ40,0,-1)</f>
        <v>14</v>
      </c>
      <c r="AK40" s="1406">
        <f ca="1">OFFSET(AK40,0,-1)+1</f>
        <v>15</v>
      </c>
      <c r="AL40" s="445"/>
      <c r="AM40" s="445"/>
      <c r="AN40" s="445"/>
      <c r="AO40" s="445"/>
      <c r="AP40" s="445"/>
      <c r="AQ40" s="430">
        <v>0</v>
      </c>
    </row>
    <row r="41" spans="1:43" ht="24" customHeight="1">
      <c r="A41" s="1287" t="s">
        <v>479</v>
      </c>
      <c r="B41" s="1287"/>
      <c r="C41" s="1287"/>
      <c r="D41" s="1287"/>
      <c r="E41" s="4033">
        <v>1</v>
      </c>
      <c r="F41" s="1287"/>
      <c r="G41" s="1287"/>
      <c r="H41" s="1287"/>
      <c r="I41" s="1287"/>
      <c r="J41" s="1287"/>
      <c r="K41" s="1287"/>
      <c r="L41" s="1288"/>
      <c r="M41" s="1289"/>
      <c r="N41" s="1289"/>
      <c r="O41" s="1289"/>
      <c r="P41" s="295"/>
      <c r="Q41" s="294"/>
      <c r="R41" s="289"/>
      <c r="S41" s="1417">
        <f>INDEX(PT_DIFFERENTIATION_NUM_NTAR,MATCH(A41,PT_DIFFERENTIATION_NTAR_ID,0))</f>
        <v>0</v>
      </c>
      <c r="T41" s="233" t="s">
        <v>195</v>
      </c>
      <c r="U41" s="235"/>
      <c r="V41" s="4027"/>
      <c r="W41" s="4028"/>
      <c r="X41" s="4028"/>
      <c r="Y41" s="4028"/>
      <c r="Z41" s="4028"/>
      <c r="AA41" s="4028"/>
      <c r="AB41" s="4029"/>
      <c r="AC41" s="4027" t="str">
        <f>INDEX(PT_DIFFERENTIATION_NTAR,MATCH(A41,PT_DIFFERENTIATION_NTAR_ID,0))</f>
        <v/>
      </c>
      <c r="AD41" s="4028"/>
      <c r="AE41" s="4028"/>
      <c r="AF41" s="4028"/>
      <c r="AG41" s="4028"/>
      <c r="AH41" s="4028"/>
      <c r="AI41" s="4028"/>
      <c r="AJ41" s="4029"/>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9">
        <v>23</v>
      </c>
    </row>
    <row r="42" spans="1:43" ht="24" customHeight="1">
      <c r="A42" s="1287" t="s">
        <v>479</v>
      </c>
      <c r="B42" s="1287" t="s">
        <v>480</v>
      </c>
      <c r="C42" s="1287"/>
      <c r="D42" s="1287"/>
      <c r="E42" s="4034"/>
      <c r="F42" s="4033">
        <v>1</v>
      </c>
      <c r="G42" s="1287"/>
      <c r="H42" s="1287"/>
      <c r="I42" s="1287"/>
      <c r="J42" s="1287"/>
      <c r="K42" s="1287"/>
      <c r="L42" s="1288"/>
      <c r="M42" s="1289"/>
      <c r="N42" s="1289"/>
      <c r="O42" s="1289"/>
      <c r="P42" s="1411"/>
      <c r="Q42" s="286"/>
      <c r="R42" s="287"/>
      <c r="S42" s="1417" t="str">
        <f>INDEX(PT_DIFFERENTIATION_NUM_TER,MATCH(B42,PT_DIFFERENTIATION_TER_ID,0))</f>
        <v>.</v>
      </c>
      <c r="T42" s="243" t="s">
        <v>605</v>
      </c>
      <c r="U42" s="235"/>
      <c r="V42" s="4027"/>
      <c r="W42" s="4028"/>
      <c r="X42" s="4028"/>
      <c r="Y42" s="4028"/>
      <c r="Z42" s="4028"/>
      <c r="AA42" s="4028"/>
      <c r="AB42" s="4029"/>
      <c r="AC42" s="4027" t="str">
        <f>INDEX(PT_DIFFERENTIATION_TER,MATCH(B42,PT_DIFFERENTIATION_TER_ID,0))</f>
        <v/>
      </c>
      <c r="AD42" s="4028"/>
      <c r="AE42" s="4028"/>
      <c r="AF42" s="4028"/>
      <c r="AG42" s="4028"/>
      <c r="AH42" s="4028"/>
      <c r="AI42" s="4028"/>
      <c r="AJ42" s="4029"/>
      <c r="AK42" s="1182" t="s">
        <v>606</v>
      </c>
      <c r="AM42" s="434"/>
      <c r="AN42" s="434" t="str">
        <f t="shared" si="1"/>
        <v>Территория действия тарифа</v>
      </c>
      <c r="AO42" s="434"/>
      <c r="AP42" s="434"/>
      <c r="AQ42" s="1079">
        <v>23</v>
      </c>
    </row>
    <row r="43" spans="1:43" ht="24" customHeight="1">
      <c r="A43" s="1287" t="s">
        <v>479</v>
      </c>
      <c r="B43" s="1287" t="s">
        <v>480</v>
      </c>
      <c r="C43" s="1287" t="s">
        <v>481</v>
      </c>
      <c r="D43" s="1287"/>
      <c r="E43" s="4034"/>
      <c r="F43" s="4034"/>
      <c r="G43" s="4033">
        <v>1</v>
      </c>
      <c r="H43" s="1287"/>
      <c r="I43" s="1287"/>
      <c r="J43" s="1287"/>
      <c r="K43" s="1287"/>
      <c r="L43" s="1288"/>
      <c r="M43" s="1289"/>
      <c r="N43" s="1289"/>
      <c r="O43" s="1289"/>
      <c r="P43" s="288"/>
      <c r="Q43" s="286"/>
      <c r="R43" s="287"/>
      <c r="S43" s="1417" t="str">
        <f>INDEX(PT_DIFFERENTIATION_NUM_CS,MATCH(C43,PT_DIFFERENTIATION_CS_ID,0))</f>
        <v>..</v>
      </c>
      <c r="T43" s="244" t="s">
        <v>725</v>
      </c>
      <c r="U43" s="235"/>
      <c r="V43" s="4027"/>
      <c r="W43" s="4028"/>
      <c r="X43" s="4028"/>
      <c r="Y43" s="4028"/>
      <c r="Z43" s="4028"/>
      <c r="AA43" s="4028"/>
      <c r="AB43" s="4029"/>
      <c r="AC43" s="4027" t="str">
        <f>INDEX(PT_DIFFERENTIATION_CS,MATCH(C43,PT_DIFFERENTIATION_CS_ID,0))</f>
        <v/>
      </c>
      <c r="AD43" s="4028"/>
      <c r="AE43" s="4028"/>
      <c r="AF43" s="4028"/>
      <c r="AG43" s="4028"/>
      <c r="AH43" s="4028"/>
      <c r="AI43" s="4028"/>
      <c r="AJ43" s="4029"/>
      <c r="AK43" s="1182" t="s">
        <v>726</v>
      </c>
      <c r="AM43" s="434"/>
      <c r="AN43" s="434" t="str">
        <f t="shared" si="1"/>
        <v>Наименование централизованной системы водоотведения</v>
      </c>
      <c r="AO43" s="434"/>
      <c r="AP43" s="434"/>
      <c r="AQ43" s="1079">
        <v>23</v>
      </c>
    </row>
    <row r="44" spans="1:43" ht="24" customHeight="1">
      <c r="A44" s="1287" t="s">
        <v>479</v>
      </c>
      <c r="B44" s="1287" t="s">
        <v>480</v>
      </c>
      <c r="C44" s="1287" t="s">
        <v>481</v>
      </c>
      <c r="D44" s="1287" t="s">
        <v>730</v>
      </c>
      <c r="E44" s="4034"/>
      <c r="F44" s="4034"/>
      <c r="G44" s="4034"/>
      <c r="H44" s="4034"/>
      <c r="I44" s="4035" t="str">
        <f>S43&amp;".1"</f>
        <v>...1</v>
      </c>
      <c r="J44" s="1287"/>
      <c r="K44" s="1287"/>
      <c r="L44" s="1288"/>
      <c r="P44" s="4037">
        <v>1</v>
      </c>
      <c r="Q44" s="1405"/>
      <c r="R44" s="290"/>
      <c r="S44" s="1417" t="str">
        <f>$I44</f>
        <v>...1</v>
      </c>
      <c r="T44" s="220" t="s">
        <v>692</v>
      </c>
      <c r="U44" s="235"/>
      <c r="V44" s="4101"/>
      <c r="W44" s="4102"/>
      <c r="X44" s="4102"/>
      <c r="Y44" s="4102"/>
      <c r="Z44" s="4102"/>
      <c r="AA44" s="4102"/>
      <c r="AB44" s="4103"/>
      <c r="AC44" s="4104"/>
      <c r="AD44" s="4105"/>
      <c r="AE44" s="4105"/>
      <c r="AF44" s="4105"/>
      <c r="AG44" s="4105"/>
      <c r="AH44" s="4105"/>
      <c r="AI44" s="4105"/>
      <c r="AJ44" s="4106"/>
      <c r="AK44" s="1182" t="s">
        <v>693</v>
      </c>
      <c r="AM44" s="434"/>
      <c r="AN44" s="434" t="str">
        <f t="shared" si="1"/>
        <v>Наименование признака дифференциации</v>
      </c>
      <c r="AO44" s="434"/>
      <c r="AP44" s="434"/>
      <c r="AQ44" s="1079">
        <v>23</v>
      </c>
    </row>
    <row r="45" spans="1:43" ht="24" customHeight="1">
      <c r="A45" s="1287" t="s">
        <v>479</v>
      </c>
      <c r="B45" s="1287" t="s">
        <v>480</v>
      </c>
      <c r="C45" s="1287" t="s">
        <v>481</v>
      </c>
      <c r="D45" s="1287" t="s">
        <v>730</v>
      </c>
      <c r="E45" s="4034"/>
      <c r="F45" s="4034"/>
      <c r="G45" s="4034"/>
      <c r="H45" s="4034"/>
      <c r="I45" s="4036"/>
      <c r="J45" s="4035" t="str">
        <f>I44&amp;".1"</f>
        <v>...1.1</v>
      </c>
      <c r="K45" s="1287"/>
      <c r="L45" s="1288" t="s">
        <v>614</v>
      </c>
      <c r="P45" s="4037"/>
      <c r="Q45" s="4037">
        <v>1</v>
      </c>
      <c r="R45" s="291"/>
      <c r="S45" s="1417" t="str">
        <f>$J45</f>
        <v>...1.1</v>
      </c>
      <c r="T45" s="221" t="s">
        <v>615</v>
      </c>
      <c r="U45" s="235"/>
      <c r="V45" s="4021"/>
      <c r="W45" s="4022"/>
      <c r="X45" s="4022"/>
      <c r="Y45" s="4022"/>
      <c r="Z45" s="4022"/>
      <c r="AA45" s="4022"/>
      <c r="AB45" s="4023"/>
      <c r="AC45" s="4021"/>
      <c r="AD45" s="4022"/>
      <c r="AE45" s="4022"/>
      <c r="AF45" s="4022"/>
      <c r="AG45" s="4022"/>
      <c r="AH45" s="4022"/>
      <c r="AI45" s="4022"/>
      <c r="AJ45" s="4023"/>
      <c r="AK45" s="1231" t="s">
        <v>694</v>
      </c>
      <c r="AM45" s="434"/>
      <c r="AN45" s="434" t="str">
        <f t="shared" si="1"/>
        <v>Группа потребителей</v>
      </c>
      <c r="AO45" s="434"/>
      <c r="AP45" s="434"/>
      <c r="AQ45" s="1079">
        <v>23</v>
      </c>
    </row>
    <row r="46" spans="1:43" ht="24" customHeight="1">
      <c r="A46" s="1287" t="s">
        <v>479</v>
      </c>
      <c r="B46" s="1287" t="s">
        <v>480</v>
      </c>
      <c r="C46" s="1287" t="s">
        <v>481</v>
      </c>
      <c r="D46" s="1287" t="s">
        <v>730</v>
      </c>
      <c r="E46" s="4034"/>
      <c r="F46" s="4034"/>
      <c r="G46" s="4034"/>
      <c r="H46" s="4034"/>
      <c r="I46" s="4036"/>
      <c r="J46" s="4036"/>
      <c r="K46" s="4035" t="str">
        <f>J45&amp;".1"</f>
        <v>...1.1.1</v>
      </c>
      <c r="L46" s="1288"/>
      <c r="P46" s="4037"/>
      <c r="Q46" s="4037"/>
      <c r="R46" s="291">
        <v>1</v>
      </c>
      <c r="S46" s="1417" t="str">
        <f>$K46</f>
        <v>...1.1.1</v>
      </c>
      <c r="T46" s="1361"/>
      <c r="U46" s="235"/>
      <c r="V46" s="1284"/>
      <c r="W46" s="1284"/>
      <c r="X46" s="1285"/>
      <c r="Y46" s="4031"/>
      <c r="Z46" s="4030" t="s">
        <v>53</v>
      </c>
      <c r="AA46" s="4031"/>
      <c r="AB46" s="4030" t="s">
        <v>53</v>
      </c>
      <c r="AC46" s="685"/>
      <c r="AD46" s="685"/>
      <c r="AE46" s="1181"/>
      <c r="AF46" s="4038"/>
      <c r="AG46" s="3899" t="s">
        <v>53</v>
      </c>
      <c r="AH46" s="4040"/>
      <c r="AI46" s="3899" t="s">
        <v>6</v>
      </c>
      <c r="AJ46" s="1362"/>
      <c r="AK46"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9">
        <v>23</v>
      </c>
    </row>
    <row r="47" spans="1:43" ht="0" hidden="1" customHeight="1">
      <c r="A47" s="1287" t="s">
        <v>479</v>
      </c>
      <c r="B47" s="1287" t="s">
        <v>480</v>
      </c>
      <c r="C47" s="1287" t="s">
        <v>481</v>
      </c>
      <c r="D47" s="1287" t="s">
        <v>730</v>
      </c>
      <c r="E47" s="4034"/>
      <c r="F47" s="4034"/>
      <c r="G47" s="4034"/>
      <c r="H47" s="4034"/>
      <c r="I47" s="4036"/>
      <c r="J47" s="4036"/>
      <c r="K47" s="4035"/>
      <c r="L47" s="1288"/>
      <c r="P47" s="4037"/>
      <c r="Q47" s="4037"/>
      <c r="R47" s="291"/>
      <c r="S47" s="1414"/>
      <c r="T47" s="235"/>
      <c r="U47" s="235"/>
      <c r="V47" s="1284"/>
      <c r="W47" s="1284"/>
      <c r="X47" s="263" t="str">
        <f>Y46&amp;"-"&amp;AA46</f>
        <v>-</v>
      </c>
      <c r="Y47" s="4030"/>
      <c r="Z47" s="4030"/>
      <c r="AA47" s="4030"/>
      <c r="AB47" s="4030"/>
      <c r="AC47" s="260"/>
      <c r="AD47" s="260"/>
      <c r="AE47" s="263" t="str">
        <f>AF46&amp;"-"&amp;AH46</f>
        <v>-</v>
      </c>
      <c r="AF47" s="4039"/>
      <c r="AG47" s="3899"/>
      <c r="AH47" s="4041"/>
      <c r="AI47" s="3899"/>
      <c r="AJ47" s="1363"/>
      <c r="AK47" s="4107"/>
      <c r="AM47" s="434"/>
      <c r="AN47" s="434" t="str">
        <f t="shared" si="1"/>
        <v/>
      </c>
      <c r="AO47" s="434"/>
      <c r="AP47" s="434"/>
      <c r="AQ47" s="1079">
        <v>0</v>
      </c>
    </row>
    <row r="48" spans="1:43" ht="21" customHeight="1">
      <c r="A48" s="1287" t="s">
        <v>479</v>
      </c>
      <c r="B48" s="1287" t="s">
        <v>480</v>
      </c>
      <c r="C48" s="1287" t="s">
        <v>481</v>
      </c>
      <c r="D48" s="1287" t="s">
        <v>730</v>
      </c>
      <c r="E48" s="4034"/>
      <c r="F48" s="4034"/>
      <c r="G48" s="4034"/>
      <c r="H48" s="4034"/>
      <c r="I48" s="4036"/>
      <c r="J48" s="4035"/>
      <c r="K48" s="1287"/>
      <c r="L48" s="1288"/>
      <c r="P48" s="4037"/>
      <c r="Q48" s="4037"/>
      <c r="R48" s="290"/>
      <c r="S48" s="1202"/>
      <c r="T48" s="222" t="s">
        <v>695</v>
      </c>
      <c r="U48" s="301"/>
      <c r="V48" s="301"/>
      <c r="W48" s="301"/>
      <c r="X48" s="301"/>
      <c r="Y48" s="301"/>
      <c r="Z48" s="301"/>
      <c r="AA48" s="301"/>
      <c r="AB48" s="301"/>
      <c r="AC48" s="301"/>
      <c r="AD48" s="301"/>
      <c r="AE48" s="301"/>
      <c r="AF48" s="301"/>
      <c r="AG48" s="301"/>
      <c r="AH48" s="301"/>
      <c r="AI48" s="301"/>
      <c r="AJ48" s="301"/>
      <c r="AK48" s="1182" t="s">
        <v>696</v>
      </c>
      <c r="AM48" s="434"/>
      <c r="AN48" s="434" t="str">
        <f t="shared" si="1"/>
        <v>Добавить значение признака дифференциации</v>
      </c>
      <c r="AO48" s="434"/>
      <c r="AP48" s="434"/>
      <c r="AQ48" s="1079">
        <v>20</v>
      </c>
    </row>
    <row r="49" spans="1:43" ht="21.95" customHeight="1">
      <c r="A49" s="1287" t="s">
        <v>479</v>
      </c>
      <c r="B49" s="1287" t="s">
        <v>480</v>
      </c>
      <c r="C49" s="1287" t="s">
        <v>481</v>
      </c>
      <c r="D49" s="1287" t="s">
        <v>730</v>
      </c>
      <c r="E49" s="4034"/>
      <c r="F49" s="4034"/>
      <c r="G49" s="4034"/>
      <c r="H49" s="4034"/>
      <c r="I49" s="4035"/>
      <c r="J49" s="1287"/>
      <c r="K49" s="1287"/>
      <c r="L49" s="1288"/>
      <c r="P49" s="4037"/>
      <c r="Q49" s="1405"/>
      <c r="R49" s="290"/>
      <c r="S49" s="1202"/>
      <c r="T49" s="299" t="s">
        <v>620</v>
      </c>
      <c r="U49" s="301"/>
      <c r="V49" s="301"/>
      <c r="W49" s="301"/>
      <c r="X49" s="301"/>
      <c r="Y49" s="301"/>
      <c r="Z49" s="301"/>
      <c r="AA49" s="301"/>
      <c r="AB49" s="300"/>
      <c r="AC49" s="301"/>
      <c r="AD49" s="301"/>
      <c r="AE49" s="301"/>
      <c r="AF49" s="301"/>
      <c r="AG49" s="301"/>
      <c r="AH49" s="301"/>
      <c r="AI49" s="300"/>
      <c r="AJ49" s="301"/>
      <c r="AK49" s="1364"/>
      <c r="AM49" s="434"/>
      <c r="AN49" s="434" t="str">
        <f t="shared" si="1"/>
        <v>Добавить группу потребителей</v>
      </c>
      <c r="AO49" s="434"/>
      <c r="AP49" s="434"/>
      <c r="AQ49" s="1079">
        <v>21</v>
      </c>
    </row>
    <row r="50" spans="1:43" ht="21.95" customHeight="1">
      <c r="A50" s="1287" t="s">
        <v>479</v>
      </c>
      <c r="B50" s="1287" t="s">
        <v>480</v>
      </c>
      <c r="C50" s="1287" t="s">
        <v>481</v>
      </c>
      <c r="D50" s="1287" t="s">
        <v>730</v>
      </c>
      <c r="E50" s="4034"/>
      <c r="F50" s="4034"/>
      <c r="G50" s="4034"/>
      <c r="H50" s="4033"/>
      <c r="I50" s="1287"/>
      <c r="J50" s="1287"/>
      <c r="K50" s="1287"/>
      <c r="L50" s="1288"/>
      <c r="M50" s="1289"/>
      <c r="N50" s="1289"/>
      <c r="O50" s="471"/>
      <c r="P50" s="294"/>
      <c r="Q50" s="309"/>
      <c r="R50" s="289"/>
      <c r="S50" s="1202"/>
      <c r="T50" s="306" t="s">
        <v>697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9">
        <v>21</v>
      </c>
    </row>
    <row r="51" spans="1:43" s="1566" customFormat="1" ht="0" hidden="1" customHeight="1">
      <c r="A51" s="1267" t="s">
        <v>479</v>
      </c>
      <c r="B51" s="1267" t="s">
        <v>480</v>
      </c>
      <c r="C51" s="1238"/>
      <c r="D51" s="1238"/>
      <c r="E51" s="4034"/>
      <c r="F51" s="4033"/>
      <c r="G51" s="1238"/>
      <c r="H51" s="1238"/>
      <c r="I51" s="1238"/>
      <c r="J51" s="1238"/>
      <c r="K51" s="1238"/>
      <c r="L51" s="1418"/>
      <c r="M51" s="1245"/>
      <c r="N51" s="1245"/>
      <c r="P51" s="1240"/>
      <c r="Q51" s="1241"/>
      <c r="R51" s="1240"/>
      <c r="S51" s="1246"/>
      <c r="T51" s="1249" t="s">
        <v>236</v>
      </c>
      <c r="U51" s="1248"/>
      <c r="V51" s="1248"/>
      <c r="W51" s="1248"/>
      <c r="X51" s="1248"/>
      <c r="Y51" s="1248"/>
      <c r="Z51" s="1248"/>
      <c r="AA51" s="1248"/>
      <c r="AB51" s="1248"/>
      <c r="AC51" s="1248"/>
      <c r="AD51" s="1248"/>
      <c r="AE51" s="1248"/>
      <c r="AF51" s="1248"/>
      <c r="AG51" s="1248"/>
      <c r="AH51" s="1248"/>
      <c r="AI51" s="1248"/>
      <c r="AJ51" s="1248"/>
      <c r="AK51" s="1248"/>
      <c r="AM51" s="717"/>
      <c r="AN51" s="717" t="str">
        <f t="shared" si="1"/>
        <v>Добавить централизованную систему для дифференциации</v>
      </c>
      <c r="AO51" s="717"/>
      <c r="AP51" s="717"/>
      <c r="AQ51" s="452">
        <v>0</v>
      </c>
    </row>
    <row r="52" spans="1:43" s="1566" customFormat="1" ht="0" hidden="1" customHeight="1">
      <c r="A52" s="1267" t="s">
        <v>479</v>
      </c>
      <c r="B52" s="1267"/>
      <c r="C52" s="1267"/>
      <c r="D52" s="1267"/>
      <c r="E52" s="4033"/>
      <c r="F52" s="1267"/>
      <c r="G52" s="1267"/>
      <c r="H52" s="1267"/>
      <c r="I52" s="1267"/>
      <c r="J52" s="1267"/>
      <c r="K52" s="1267"/>
      <c r="L52" s="1270"/>
      <c r="M52" s="1245"/>
      <c r="N52" s="1245"/>
      <c r="O52" s="452"/>
      <c r="P52" s="314"/>
      <c r="Q52" s="1268"/>
      <c r="R52" s="314"/>
      <c r="S52" s="1246"/>
      <c r="T52" s="1249" t="s">
        <v>286</v>
      </c>
      <c r="U52" s="1248"/>
      <c r="V52" s="1248"/>
      <c r="W52" s="1248"/>
      <c r="X52" s="1248"/>
      <c r="Y52" s="1248"/>
      <c r="Z52" s="1248"/>
      <c r="AA52" s="1248"/>
      <c r="AB52" s="1248"/>
      <c r="AC52" s="1248"/>
      <c r="AD52" s="1248"/>
      <c r="AE52" s="1248"/>
      <c r="AF52" s="1248"/>
      <c r="AG52" s="1248"/>
      <c r="AH52" s="1248"/>
      <c r="AI52" s="1248"/>
      <c r="AJ52" s="1248"/>
      <c r="AK52" s="1248"/>
      <c r="AM52" s="434"/>
      <c r="AN52" s="434" t="str">
        <f t="shared" si="1"/>
        <v>Добавить территорию для дифференциации</v>
      </c>
      <c r="AO52" s="434"/>
      <c r="AP52" s="434"/>
      <c r="AQ52" s="445">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287</v>
      </c>
      <c r="U53" s="1248"/>
      <c r="V53" s="1248"/>
      <c r="W53" s="1248"/>
      <c r="X53" s="1248"/>
      <c r="Y53" s="1248"/>
      <c r="Z53" s="1248"/>
      <c r="AA53" s="1248"/>
      <c r="AB53" s="1248"/>
      <c r="AC53" s="1248"/>
      <c r="AD53" s="1248"/>
      <c r="AE53" s="1248"/>
      <c r="AF53" s="1248"/>
      <c r="AG53" s="1248"/>
      <c r="AH53" s="1248"/>
      <c r="AI53" s="1248"/>
      <c r="AJ53" s="1248"/>
      <c r="AK53" s="1248"/>
      <c r="AM53" s="717"/>
      <c r="AN53" s="717" t="str">
        <f t="shared" si="1"/>
        <v>Добавить наименование тарифа</v>
      </c>
      <c r="AO53" s="717"/>
      <c r="AP53" s="717"/>
      <c r="AQ53" s="452">
        <v>0</v>
      </c>
    </row>
    <row r="54" spans="1:43" ht="11.45" customHeight="1">
      <c r="M54" s="1084"/>
      <c r="N54" s="1084"/>
      <c r="O54" s="471"/>
      <c r="P54" s="1079"/>
      <c r="Q54" s="1079"/>
      <c r="R54" s="1079"/>
      <c r="S54" s="1079"/>
      <c r="AL54" s="1079"/>
      <c r="AM54" s="1079"/>
      <c r="AN54" s="1079"/>
      <c r="AO54" s="1079"/>
      <c r="AP54" s="1079"/>
      <c r="AQ54" s="1079">
        <v>11</v>
      </c>
    </row>
    <row r="55" spans="1:43" ht="14.65" customHeight="1">
      <c r="O55" s="471"/>
      <c r="S55" s="1177"/>
      <c r="T55" s="4032"/>
      <c r="U55" s="4032"/>
      <c r="V55" s="4032"/>
      <c r="W55" s="4032"/>
      <c r="X55" s="4032"/>
      <c r="Y55" s="4032"/>
      <c r="Z55" s="4032"/>
      <c r="AA55" s="4032"/>
      <c r="AB55" s="4032"/>
      <c r="AC55" s="4032"/>
      <c r="AD55" s="4032"/>
      <c r="AE55" s="4032"/>
      <c r="AF55" s="4032"/>
      <c r="AG55" s="4032"/>
      <c r="AH55" s="4032"/>
      <c r="AI55" s="4032"/>
      <c r="AJ55" s="4032"/>
      <c r="AK55" s="4032"/>
      <c r="AQ55" s="1079">
        <v>14</v>
      </c>
    </row>
    <row r="56" spans="1:43" ht="14.65" customHeight="1">
      <c r="O56" s="471"/>
      <c r="AQ56" s="1079">
        <v>14</v>
      </c>
    </row>
    <row r="57" spans="1:43" ht="14.65" customHeight="1">
      <c r="O57" s="471"/>
      <c r="S57" s="1177"/>
      <c r="T57" s="4032"/>
      <c r="U57" s="4032"/>
      <c r="V57" s="4032"/>
      <c r="W57" s="4032"/>
      <c r="X57" s="4032"/>
      <c r="Y57" s="4032"/>
      <c r="Z57" s="4032"/>
      <c r="AA57" s="4032"/>
      <c r="AB57" s="4032"/>
      <c r="AC57" s="4032"/>
      <c r="AD57" s="4032"/>
      <c r="AE57" s="4032"/>
      <c r="AF57" s="4032"/>
      <c r="AG57" s="4032"/>
      <c r="AH57" s="4032"/>
      <c r="AI57" s="4032"/>
      <c r="AJ57" s="4032"/>
      <c r="AK57" s="4032"/>
      <c r="AQ57" s="1079">
        <v>14</v>
      </c>
    </row>
    <row r="58" spans="1:43" ht="22.5" hidden="1" customHeight="1">
      <c r="A58" s="1084" t="s">
        <v>69</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79">
        <v>3</v>
      </c>
      <c r="R58" s="279">
        <v>3</v>
      </c>
      <c r="S58" s="515">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5">
        <v>10</v>
      </c>
      <c r="AM58" s="445">
        <v>10</v>
      </c>
      <c r="AN58" s="445">
        <v>10</v>
      </c>
      <c r="AO58" s="445">
        <v>10</v>
      </c>
      <c r="AP58" s="445">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7109375" style="1672" hidden="1" customWidth="1"/>
    <col min="17" max="17" width="3.7109375" style="1295" hidden="1" customWidth="1"/>
    <col min="18" max="18" width="3" style="279" customWidth="1"/>
    <col min="19" max="19" width="12" style="1976"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2"/>
      <c r="Y1" s="262"/>
      <c r="Z1" s="262"/>
      <c r="AW1" s="262"/>
      <c r="AX1" s="262"/>
      <c r="BI1" s="1079" t="s">
        <v>1</v>
      </c>
    </row>
    <row r="2" spans="1:61" ht="21" hidden="1" customHeight="1">
      <c r="A2" s="1287"/>
      <c r="B2" s="1287"/>
      <c r="C2" s="1287"/>
      <c r="D2" s="1287"/>
      <c r="E2" s="4033">
        <v>1</v>
      </c>
      <c r="F2" s="1287"/>
      <c r="G2" s="1287"/>
      <c r="H2" s="1287"/>
      <c r="I2" s="1287"/>
      <c r="J2" s="1287"/>
      <c r="K2" s="1287"/>
      <c r="L2" s="1288"/>
      <c r="M2" s="1289"/>
      <c r="N2" s="1289"/>
      <c r="O2" s="1289"/>
      <c r="P2" s="1333"/>
      <c r="Q2" s="801"/>
      <c r="R2" s="289"/>
      <c r="S2" s="1417" t="e">
        <f>INDEX(PT_DIFFERENTIATION_NUM_NTAR,MATCH(A2,PT_DIFFERENTIATION_NTAR_ID,0))</f>
        <v>#N/A</v>
      </c>
      <c r="T2" s="233" t="s">
        <v>195</v>
      </c>
      <c r="U2" s="235"/>
      <c r="V2" s="4028"/>
      <c r="W2" s="4028"/>
      <c r="X2" s="4028"/>
      <c r="Y2" s="4028"/>
      <c r="Z2" s="4028"/>
      <c r="AA2" s="4028"/>
      <c r="AB2" s="4028"/>
      <c r="AC2" s="4029"/>
      <c r="AD2" s="4027" t="e">
        <f>INDEX(PT_DIFFERENTIATION_NTAR,MATCH(A2,PT_DIFFERENTIATION_NTAR_ID,0))</f>
        <v>#N/A</v>
      </c>
      <c r="AE2" s="4028"/>
      <c r="AF2" s="4028"/>
      <c r="AG2" s="4028"/>
      <c r="AH2" s="4028"/>
      <c r="AI2" s="4028"/>
      <c r="AJ2" s="4028"/>
      <c r="AK2" s="4028"/>
      <c r="AL2" s="4028"/>
      <c r="AM2" s="4028"/>
      <c r="AN2" s="4028"/>
      <c r="AO2" s="4028"/>
      <c r="AP2" s="4028"/>
      <c r="AQ2" s="4028"/>
      <c r="AR2" s="4028"/>
      <c r="AS2" s="4028"/>
      <c r="AT2" s="4028"/>
      <c r="AU2" s="4028"/>
      <c r="AV2" s="4028"/>
      <c r="AW2" s="4028"/>
      <c r="AX2" s="4028"/>
      <c r="AY2" s="4028"/>
      <c r="AZ2" s="4028"/>
      <c r="BA2" s="4028"/>
      <c r="BB2" s="4029"/>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9">
        <v>0</v>
      </c>
    </row>
    <row r="3" spans="1:61" ht="21" hidden="1" customHeight="1">
      <c r="A3" s="1287"/>
      <c r="B3" s="1287"/>
      <c r="C3" s="1287"/>
      <c r="D3" s="1287"/>
      <c r="E3" s="4034"/>
      <c r="F3" s="4033">
        <v>1</v>
      </c>
      <c r="G3" s="1287"/>
      <c r="H3" s="1287"/>
      <c r="I3" s="1287"/>
      <c r="J3" s="1287"/>
      <c r="K3" s="1287"/>
      <c r="L3" s="1288"/>
      <c r="M3" s="1289"/>
      <c r="N3" s="1289"/>
      <c r="O3" s="1289"/>
      <c r="P3" s="1334"/>
      <c r="Q3" s="1335"/>
      <c r="R3" s="287"/>
      <c r="S3" s="1417" t="e">
        <f>INDEX(PT_DIFFERENTIATION_NUM_TER,MATCH(B3,PT_DIFFERENTIATION_TER_ID,0))</f>
        <v>#N/A</v>
      </c>
      <c r="T3" s="243" t="s">
        <v>605</v>
      </c>
      <c r="U3" s="235"/>
      <c r="V3" s="4028"/>
      <c r="W3" s="4028"/>
      <c r="X3" s="4028"/>
      <c r="Y3" s="4028"/>
      <c r="Z3" s="4028"/>
      <c r="AA3" s="4028"/>
      <c r="AB3" s="4028"/>
      <c r="AC3" s="4029"/>
      <c r="AD3" s="4027" t="e">
        <f>INDEX(PT_DIFFERENTIATION_TER,MATCH(B3,PT_DIFFERENTIATION_TER_ID,0))</f>
        <v>#N/A</v>
      </c>
      <c r="AE3" s="4028"/>
      <c r="AF3" s="4028"/>
      <c r="AG3" s="4028"/>
      <c r="AH3" s="4028"/>
      <c r="AI3" s="4028"/>
      <c r="AJ3" s="4028"/>
      <c r="AK3" s="4028"/>
      <c r="AL3" s="4028"/>
      <c r="AM3" s="4028"/>
      <c r="AN3" s="4028"/>
      <c r="AO3" s="4028"/>
      <c r="AP3" s="4028"/>
      <c r="AQ3" s="4028"/>
      <c r="AR3" s="4028"/>
      <c r="AS3" s="4028"/>
      <c r="AT3" s="4028"/>
      <c r="AU3" s="4028"/>
      <c r="AV3" s="4028"/>
      <c r="AW3" s="4028"/>
      <c r="AX3" s="4028"/>
      <c r="AY3" s="4028"/>
      <c r="AZ3" s="4028"/>
      <c r="BA3" s="4028"/>
      <c r="BB3" s="4029"/>
      <c r="BC3" s="1182" t="s">
        <v>606</v>
      </c>
      <c r="BE3" s="434"/>
      <c r="BF3" s="434" t="str">
        <f t="shared" si="0"/>
        <v>Территория действия тарифа</v>
      </c>
      <c r="BG3" s="434"/>
      <c r="BH3" s="434"/>
      <c r="BI3" s="1079">
        <v>0</v>
      </c>
    </row>
    <row r="4" spans="1:61" ht="33.75" hidden="1" customHeight="1">
      <c r="A4" s="1287"/>
      <c r="B4" s="1287"/>
      <c r="C4" s="1287"/>
      <c r="D4" s="1287"/>
      <c r="E4" s="4034"/>
      <c r="F4" s="4034"/>
      <c r="G4" s="4033">
        <v>1</v>
      </c>
      <c r="H4" s="1287"/>
      <c r="I4" s="1287"/>
      <c r="J4" s="1287"/>
      <c r="K4" s="1287"/>
      <c r="L4" s="1288"/>
      <c r="M4" s="1289"/>
      <c r="N4" s="1289"/>
      <c r="O4" s="1289"/>
      <c r="P4" s="1336"/>
      <c r="Q4" s="1335"/>
      <c r="R4" s="287"/>
      <c r="S4" s="1417" t="e">
        <f>INDEX(PT_DIFFERENTIATION_NUM_CS,MATCH(C4,PT_DIFFERENTIATION_CS_ID,0))</f>
        <v>#N/A</v>
      </c>
      <c r="T4" s="244" t="s">
        <v>725</v>
      </c>
      <c r="U4" s="235"/>
      <c r="V4" s="4028"/>
      <c r="W4" s="4028"/>
      <c r="X4" s="4028"/>
      <c r="Y4" s="4028"/>
      <c r="Z4" s="4028"/>
      <c r="AA4" s="4028"/>
      <c r="AB4" s="4028"/>
      <c r="AC4" s="4029"/>
      <c r="AD4" s="4027" t="e">
        <f>INDEX(PT_DIFFERENTIATION_CS,MATCH(C4,PT_DIFFERENTIATION_CS_ID,0))</f>
        <v>#N/A</v>
      </c>
      <c r="AE4" s="4028"/>
      <c r="AF4" s="4028"/>
      <c r="AG4" s="4028"/>
      <c r="AH4" s="4028"/>
      <c r="AI4" s="4028"/>
      <c r="AJ4" s="4028"/>
      <c r="AK4" s="4028"/>
      <c r="AL4" s="4028"/>
      <c r="AM4" s="4028"/>
      <c r="AN4" s="4028"/>
      <c r="AO4" s="4028"/>
      <c r="AP4" s="4028"/>
      <c r="AQ4" s="4028"/>
      <c r="AR4" s="4028"/>
      <c r="AS4" s="4028"/>
      <c r="AT4" s="4028"/>
      <c r="AU4" s="4028"/>
      <c r="AV4" s="4028"/>
      <c r="AW4" s="4028"/>
      <c r="AX4" s="4028"/>
      <c r="AY4" s="4028"/>
      <c r="AZ4" s="4028"/>
      <c r="BA4" s="4028"/>
      <c r="BB4" s="4029"/>
      <c r="BC4" s="1182" t="s">
        <v>726</v>
      </c>
      <c r="BE4" s="434"/>
      <c r="BF4" s="434" t="str">
        <f t="shared" si="0"/>
        <v>Наименование централизованной системы водоотведения</v>
      </c>
      <c r="BG4" s="434"/>
      <c r="BH4" s="434"/>
      <c r="BI4" s="1079">
        <v>0</v>
      </c>
    </row>
    <row r="5" spans="1:61" s="1566" customFormat="1" ht="14.25" hidden="1" customHeight="1">
      <c r="A5" s="1267"/>
      <c r="B5" s="1267"/>
      <c r="C5" s="1267"/>
      <c r="D5" s="1267"/>
      <c r="E5" s="4034"/>
      <c r="F5" s="4034"/>
      <c r="G5" s="4034"/>
      <c r="H5" s="4033">
        <v>1</v>
      </c>
      <c r="I5" s="1267"/>
      <c r="J5" s="1267"/>
      <c r="K5" s="1267"/>
      <c r="L5" s="1270"/>
      <c r="M5" s="1239"/>
      <c r="N5" s="1239"/>
      <c r="O5" s="1239"/>
      <c r="P5" s="1421"/>
      <c r="Q5" s="1422"/>
      <c r="R5" s="291"/>
      <c r="S5" s="969"/>
      <c r="T5" s="1423"/>
      <c r="U5" s="1308"/>
      <c r="V5" s="4065"/>
      <c r="W5" s="4065"/>
      <c r="X5" s="4065"/>
      <c r="Y5" s="4065"/>
      <c r="Z5" s="4065"/>
      <c r="AA5" s="4065"/>
      <c r="AB5" s="4065"/>
      <c r="AC5" s="4066"/>
      <c r="AD5" s="4064"/>
      <c r="AE5" s="4065"/>
      <c r="AF5" s="4065"/>
      <c r="AG5" s="4065"/>
      <c r="AH5" s="4065"/>
      <c r="AI5" s="4065"/>
      <c r="AJ5" s="4065"/>
      <c r="AK5" s="4065"/>
      <c r="AL5" s="4065"/>
      <c r="AM5" s="4065"/>
      <c r="AN5" s="4065"/>
      <c r="AO5" s="4065"/>
      <c r="AP5" s="4065"/>
      <c r="AQ5" s="4065"/>
      <c r="AR5" s="4065"/>
      <c r="AS5" s="4065"/>
      <c r="AT5" s="4065"/>
      <c r="AU5" s="4065"/>
      <c r="AV5" s="4065"/>
      <c r="AW5" s="4065"/>
      <c r="AX5" s="4065"/>
      <c r="AY5" s="4065"/>
      <c r="AZ5" s="4065"/>
      <c r="BA5" s="4065"/>
      <c r="BB5" s="4066"/>
      <c r="BC5" s="1309" t="s">
        <v>610</v>
      </c>
      <c r="BE5" s="434"/>
      <c r="BF5" s="434" t="str">
        <f t="shared" si="0"/>
        <v/>
      </c>
      <c r="BG5" s="434"/>
      <c r="BH5" s="434"/>
      <c r="BI5" s="445">
        <v>0</v>
      </c>
    </row>
    <row r="6" spans="1:61" s="1566" customFormat="1" ht="14.25" hidden="1" customHeight="1">
      <c r="A6" s="1267"/>
      <c r="B6" s="1267"/>
      <c r="C6" s="1267"/>
      <c r="D6" s="1267"/>
      <c r="E6" s="4034"/>
      <c r="F6" s="4034"/>
      <c r="G6" s="4034"/>
      <c r="H6" s="4034"/>
      <c r="I6" s="4035" t="str">
        <f>S5&amp;".1"</f>
        <v>.1</v>
      </c>
      <c r="J6" s="1267"/>
      <c r="K6" s="1267"/>
      <c r="L6" s="1270" t="s">
        <v>611</v>
      </c>
      <c r="M6" s="444"/>
      <c r="N6" s="444"/>
      <c r="O6" s="444"/>
      <c r="P6" s="4037">
        <v>1</v>
      </c>
      <c r="Q6" s="1405"/>
      <c r="R6" s="290"/>
      <c r="S6" s="969"/>
      <c r="T6" s="1307"/>
      <c r="U6" s="1308"/>
      <c r="V6" s="4065"/>
      <c r="W6" s="4065"/>
      <c r="X6" s="4065"/>
      <c r="Y6" s="4065"/>
      <c r="Z6" s="4065"/>
      <c r="AA6" s="4065"/>
      <c r="AB6" s="4065"/>
      <c r="AC6" s="4066"/>
      <c r="AD6" s="4064"/>
      <c r="AE6" s="4065"/>
      <c r="AF6" s="4065"/>
      <c r="AG6" s="4065"/>
      <c r="AH6" s="4065"/>
      <c r="AI6" s="4065"/>
      <c r="AJ6" s="4065"/>
      <c r="AK6" s="4065"/>
      <c r="AL6" s="4065"/>
      <c r="AM6" s="4065"/>
      <c r="AN6" s="4065"/>
      <c r="AO6" s="4065"/>
      <c r="AP6" s="4065"/>
      <c r="AQ6" s="4065"/>
      <c r="AR6" s="4065"/>
      <c r="AS6" s="4065"/>
      <c r="AT6" s="4065"/>
      <c r="AU6" s="4065"/>
      <c r="AV6" s="4065"/>
      <c r="AW6" s="4065"/>
      <c r="AX6" s="4065"/>
      <c r="AY6" s="4065"/>
      <c r="AZ6" s="4065"/>
      <c r="BA6" s="4065"/>
      <c r="BB6" s="4066"/>
      <c r="BC6" s="1309"/>
      <c r="BE6" s="434"/>
      <c r="BF6" s="434" t="str">
        <f t="shared" si="0"/>
        <v/>
      </c>
      <c r="BG6" s="434"/>
      <c r="BH6" s="434"/>
      <c r="BI6" s="445">
        <v>0</v>
      </c>
    </row>
    <row r="7" spans="1:61" s="1566" customFormat="1" ht="14.25" hidden="1" customHeight="1">
      <c r="A7" s="1267"/>
      <c r="B7" s="1267"/>
      <c r="C7" s="1267"/>
      <c r="D7" s="1267"/>
      <c r="E7" s="4034"/>
      <c r="F7" s="4034"/>
      <c r="G7" s="4034"/>
      <c r="H7" s="4034"/>
      <c r="I7" s="4036"/>
      <c r="J7" s="4035" t="str">
        <f>S5&amp;".1"</f>
        <v>.1</v>
      </c>
      <c r="K7" s="1267"/>
      <c r="L7" s="1270"/>
      <c r="M7" s="444"/>
      <c r="N7" s="444"/>
      <c r="O7" s="444"/>
      <c r="P7" s="4037"/>
      <c r="Q7" s="4037">
        <v>1</v>
      </c>
      <c r="R7" s="291"/>
      <c r="S7" s="969"/>
      <c r="T7" s="1323"/>
      <c r="U7" s="1308"/>
      <c r="V7" s="4065"/>
      <c r="W7" s="4065"/>
      <c r="X7" s="4065"/>
      <c r="Y7" s="4065"/>
      <c r="Z7" s="4065"/>
      <c r="AA7" s="4065"/>
      <c r="AB7" s="4065"/>
      <c r="AC7" s="4066"/>
      <c r="AD7" s="4064"/>
      <c r="AE7" s="4065"/>
      <c r="AF7" s="4065"/>
      <c r="AG7" s="4065"/>
      <c r="AH7" s="4065"/>
      <c r="AI7" s="4065"/>
      <c r="AJ7" s="4065"/>
      <c r="AK7" s="4065"/>
      <c r="AL7" s="4065"/>
      <c r="AM7" s="4065"/>
      <c r="AN7" s="4065"/>
      <c r="AO7" s="4065"/>
      <c r="AP7" s="4065"/>
      <c r="AQ7" s="4065"/>
      <c r="AR7" s="4065"/>
      <c r="AS7" s="4065"/>
      <c r="AT7" s="4065"/>
      <c r="AU7" s="4065"/>
      <c r="AV7" s="4065"/>
      <c r="AW7" s="4065"/>
      <c r="AX7" s="4065"/>
      <c r="AY7" s="4065"/>
      <c r="AZ7" s="4065"/>
      <c r="BA7" s="4065"/>
      <c r="BB7" s="4066"/>
      <c r="BC7" s="1309"/>
      <c r="BE7" s="434"/>
      <c r="BF7" s="434" t="str">
        <f t="shared" si="0"/>
        <v/>
      </c>
      <c r="BG7" s="434"/>
      <c r="BH7" s="434"/>
      <c r="BI7" s="445">
        <v>0</v>
      </c>
    </row>
    <row r="8" spans="1:61" ht="11.25" hidden="1" customHeight="1">
      <c r="A8" s="1287"/>
      <c r="B8" s="1287"/>
      <c r="C8" s="1287"/>
      <c r="D8" s="1287"/>
      <c r="E8" s="4034"/>
      <c r="F8" s="4034"/>
      <c r="G8" s="4034"/>
      <c r="H8" s="4034"/>
      <c r="I8" s="4036"/>
      <c r="J8" s="4036"/>
      <c r="K8" s="4035" t="e">
        <f>S4&amp;".1"</f>
        <v>#N/A</v>
      </c>
      <c r="L8" s="1288"/>
      <c r="P8" s="4037"/>
      <c r="Q8" s="4037"/>
      <c r="R8" s="4093">
        <v>1</v>
      </c>
      <c r="S8" s="4090" t="e">
        <f>$K8</f>
        <v>#N/A</v>
      </c>
      <c r="T8" s="4110"/>
      <c r="U8" s="235"/>
      <c r="V8" s="685"/>
      <c r="W8" s="1181"/>
      <c r="X8" s="685"/>
      <c r="Y8" s="1181"/>
      <c r="Z8" s="1630"/>
      <c r="AA8" s="1393" t="s">
        <v>53</v>
      </c>
      <c r="AB8" s="1630"/>
      <c r="AC8" s="1393" t="s">
        <v>53</v>
      </c>
      <c r="AD8" s="3952" t="s">
        <v>53</v>
      </c>
      <c r="AE8" s="4086"/>
      <c r="AF8" s="3991">
        <v>1</v>
      </c>
      <c r="AG8" s="4109"/>
      <c r="AH8" s="3899" t="s">
        <v>53</v>
      </c>
      <c r="AI8" s="4086"/>
      <c r="AJ8" s="3991">
        <v>1</v>
      </c>
      <c r="AK8" s="4100" t="s">
        <v>15</v>
      </c>
      <c r="AL8" s="3899" t="s">
        <v>53</v>
      </c>
      <c r="AM8" s="3968"/>
      <c r="AN8" s="3991">
        <v>1</v>
      </c>
      <c r="AO8" s="4113"/>
      <c r="AP8" s="4114" t="s">
        <v>53</v>
      </c>
      <c r="AQ8" s="246"/>
      <c r="AR8" s="1410">
        <v>1</v>
      </c>
      <c r="AS8" s="1416" t="s">
        <v>15</v>
      </c>
      <c r="AT8" s="685"/>
      <c r="AU8" s="1181"/>
      <c r="AV8" s="685"/>
      <c r="AW8" s="1181"/>
      <c r="AX8" s="1630"/>
      <c r="AY8" s="1393" t="s">
        <v>53</v>
      </c>
      <c r="AZ8" s="1630"/>
      <c r="BA8" s="1393" t="s">
        <v>53</v>
      </c>
      <c r="BB8" s="1272"/>
      <c r="BC8" s="4056" t="s">
        <v>710</v>
      </c>
      <c r="BE8" s="434"/>
      <c r="BF8" s="434" t="str">
        <f t="shared" si="0"/>
        <v/>
      </c>
      <c r="BG8" s="434"/>
      <c r="BH8" s="434"/>
      <c r="BI8" s="1079">
        <v>0</v>
      </c>
    </row>
    <row r="9" spans="1:61" ht="11.25" hidden="1" customHeight="1">
      <c r="A9" s="1287"/>
      <c r="B9" s="1287"/>
      <c r="C9" s="1287"/>
      <c r="D9" s="1287"/>
      <c r="E9" s="4034"/>
      <c r="F9" s="4034"/>
      <c r="G9" s="4034"/>
      <c r="H9" s="4034"/>
      <c r="I9" s="4036"/>
      <c r="J9" s="4036"/>
      <c r="K9" s="4035"/>
      <c r="L9" s="1288"/>
      <c r="P9" s="4037"/>
      <c r="Q9" s="4037"/>
      <c r="R9" s="4093"/>
      <c r="S9" s="4091"/>
      <c r="T9" s="4111"/>
      <c r="U9" s="235"/>
      <c r="V9" s="1317"/>
      <c r="W9" s="1420"/>
      <c r="X9" s="1317"/>
      <c r="Y9" s="1420"/>
      <c r="Z9" s="1317"/>
      <c r="AA9" s="1317"/>
      <c r="AB9" s="1317"/>
      <c r="AC9" s="1317"/>
      <c r="AD9" s="3953"/>
      <c r="AE9" s="4086"/>
      <c r="AF9" s="3991"/>
      <c r="AG9" s="4109"/>
      <c r="AH9" s="3899"/>
      <c r="AI9" s="4086"/>
      <c r="AJ9" s="3991"/>
      <c r="AK9" s="4100"/>
      <c r="AL9" s="3899"/>
      <c r="AM9" s="3973"/>
      <c r="AN9" s="3991"/>
      <c r="AO9" s="4113"/>
      <c r="AP9" s="4115"/>
      <c r="AQ9" s="251"/>
      <c r="AR9" s="350"/>
      <c r="AS9" s="350" t="s">
        <v>711</v>
      </c>
      <c r="AT9" s="1317"/>
      <c r="AU9" s="1420"/>
      <c r="AV9" s="1317"/>
      <c r="AW9" s="1420"/>
      <c r="AX9" s="1317"/>
      <c r="AY9" s="1317"/>
      <c r="AZ9" s="1317"/>
      <c r="BA9" s="1317"/>
      <c r="BB9" s="1321"/>
      <c r="BC9" s="4057"/>
      <c r="BE9" s="434"/>
      <c r="BF9" s="434"/>
      <c r="BG9" s="434"/>
      <c r="BH9" s="434"/>
      <c r="BI9" s="1079">
        <v>0</v>
      </c>
    </row>
    <row r="10" spans="1:61" ht="11.25" hidden="1" customHeight="1">
      <c r="A10" s="1287"/>
      <c r="B10" s="1287"/>
      <c r="C10" s="1287"/>
      <c r="D10" s="1287"/>
      <c r="E10" s="4034"/>
      <c r="F10" s="4034"/>
      <c r="G10" s="4034"/>
      <c r="H10" s="4034"/>
      <c r="I10" s="4036"/>
      <c r="J10" s="4036"/>
      <c r="K10" s="4035"/>
      <c r="L10" s="1288"/>
      <c r="P10" s="4037"/>
      <c r="Q10" s="4037"/>
      <c r="R10" s="4093"/>
      <c r="S10" s="4091"/>
      <c r="T10" s="4111"/>
      <c r="U10" s="235"/>
      <c r="V10" s="1317"/>
      <c r="W10" s="1420"/>
      <c r="X10" s="1317"/>
      <c r="Y10" s="1420"/>
      <c r="Z10" s="1317"/>
      <c r="AA10" s="1317"/>
      <c r="AB10" s="1317"/>
      <c r="AC10" s="1317"/>
      <c r="AD10" s="3953"/>
      <c r="AE10" s="4086"/>
      <c r="AF10" s="3991"/>
      <c r="AG10" s="4109"/>
      <c r="AH10" s="3899"/>
      <c r="AI10" s="4086"/>
      <c r="AJ10" s="3991"/>
      <c r="AK10" s="4100"/>
      <c r="AL10" s="3899"/>
      <c r="AM10" s="251"/>
      <c r="AN10" s="1424"/>
      <c r="AO10" s="1424" t="s">
        <v>731</v>
      </c>
      <c r="AP10" s="350"/>
      <c r="AQ10" s="350"/>
      <c r="AR10" s="350"/>
      <c r="AS10" s="1317"/>
      <c r="AT10" s="1317"/>
      <c r="AU10" s="1420"/>
      <c r="AV10" s="1317"/>
      <c r="AW10" s="1420"/>
      <c r="AX10" s="1317"/>
      <c r="AY10" s="1317"/>
      <c r="AZ10" s="1317"/>
      <c r="BA10" s="1317"/>
      <c r="BB10" s="1321"/>
      <c r="BC10" s="4057"/>
      <c r="BE10" s="434"/>
      <c r="BF10" s="434"/>
      <c r="BG10" s="434"/>
      <c r="BH10" s="434"/>
      <c r="BI10" s="1079">
        <v>0</v>
      </c>
    </row>
    <row r="11" spans="1:61" ht="11.25" hidden="1" customHeight="1">
      <c r="A11" s="1287"/>
      <c r="B11" s="1287"/>
      <c r="C11" s="1287"/>
      <c r="D11" s="1287"/>
      <c r="E11" s="4034"/>
      <c r="F11" s="4034"/>
      <c r="G11" s="4034"/>
      <c r="H11" s="4034"/>
      <c r="I11" s="4036"/>
      <c r="J11" s="4036"/>
      <c r="K11" s="4035"/>
      <c r="L11" s="1288"/>
      <c r="P11" s="4037"/>
      <c r="Q11" s="4037"/>
      <c r="R11" s="4093"/>
      <c r="S11" s="4091"/>
      <c r="T11" s="4111"/>
      <c r="U11" s="235"/>
      <c r="V11" s="1317"/>
      <c r="W11" s="1420"/>
      <c r="X11" s="1317"/>
      <c r="Y11" s="1420"/>
      <c r="Z11" s="1317"/>
      <c r="AA11" s="1317"/>
      <c r="AB11" s="1317"/>
      <c r="AC11" s="1317"/>
      <c r="AD11" s="3953"/>
      <c r="AE11" s="4086"/>
      <c r="AF11" s="3991"/>
      <c r="AG11" s="4109"/>
      <c r="AH11" s="3899"/>
      <c r="AI11" s="229"/>
      <c r="AJ11" s="349"/>
      <c r="AK11" s="248" t="s">
        <v>732</v>
      </c>
      <c r="AL11" s="1317"/>
      <c r="AM11" s="1317"/>
      <c r="AN11" s="1317"/>
      <c r="AO11" s="1317"/>
      <c r="AP11" s="1317"/>
      <c r="AQ11" s="1317"/>
      <c r="AR11" s="1317"/>
      <c r="AS11" s="1317"/>
      <c r="AT11" s="1317"/>
      <c r="AU11" s="1420"/>
      <c r="AV11" s="1317"/>
      <c r="AW11" s="1420"/>
      <c r="AX11" s="1317"/>
      <c r="AY11" s="1317"/>
      <c r="AZ11" s="1317"/>
      <c r="BA11" s="1317"/>
      <c r="BB11" s="1321"/>
      <c r="BC11" s="4057"/>
      <c r="BE11" s="434"/>
      <c r="BF11" s="434"/>
      <c r="BG11" s="434"/>
      <c r="BH11" s="434"/>
      <c r="BI11" s="1079">
        <v>0</v>
      </c>
    </row>
    <row r="12" spans="1:61" ht="11.25" hidden="1" customHeight="1">
      <c r="A12" s="1287"/>
      <c r="B12" s="1287"/>
      <c r="C12" s="1287"/>
      <c r="D12" s="1287"/>
      <c r="E12" s="4034"/>
      <c r="F12" s="4034"/>
      <c r="G12" s="4034"/>
      <c r="H12" s="4034"/>
      <c r="I12" s="4036"/>
      <c r="J12" s="4036"/>
      <c r="K12" s="4035"/>
      <c r="L12" s="1288"/>
      <c r="P12" s="4037"/>
      <c r="Q12" s="4037"/>
      <c r="R12" s="4093"/>
      <c r="S12" s="4092"/>
      <c r="T12" s="4112"/>
      <c r="U12" s="235"/>
      <c r="V12" s="1317"/>
      <c r="W12" s="1318" t="str">
        <f>Z8&amp;"-"&amp;AB8</f>
        <v>-</v>
      </c>
      <c r="X12" s="1317"/>
      <c r="Y12" s="1318" t="str">
        <f>AB8&amp;"-"&amp;AD8</f>
        <v>-да</v>
      </c>
      <c r="Z12" s="1317"/>
      <c r="AA12" s="1317"/>
      <c r="AB12" s="1317"/>
      <c r="AC12" s="1317"/>
      <c r="AD12" s="3904"/>
      <c r="AE12" s="247"/>
      <c r="AF12" s="249"/>
      <c r="AG12" s="350" t="s">
        <v>714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4057"/>
      <c r="BE12" s="434"/>
      <c r="BF12" s="434" t="str">
        <f t="shared" ref="BF12:BF18" si="1">IF(T12="","",T12)</f>
        <v/>
      </c>
      <c r="BG12" s="434"/>
      <c r="BH12" s="434"/>
      <c r="BI12" s="1079">
        <v>0</v>
      </c>
    </row>
    <row r="13" spans="1:61" ht="11.25" hidden="1" customHeight="1">
      <c r="A13" s="1287"/>
      <c r="B13" s="1287"/>
      <c r="C13" s="1287"/>
      <c r="D13" s="1287"/>
      <c r="E13" s="4034"/>
      <c r="F13" s="4034"/>
      <c r="G13" s="4034"/>
      <c r="H13" s="4034"/>
      <c r="I13" s="4036"/>
      <c r="J13" s="4035"/>
      <c r="K13" s="1287"/>
      <c r="L13" s="1288"/>
      <c r="P13" s="4037"/>
      <c r="Q13" s="4037"/>
      <c r="R13" s="290"/>
      <c r="S13" s="1202"/>
      <c r="T13" s="222" t="s">
        <v>677</v>
      </c>
      <c r="U13" s="301"/>
      <c r="V13" s="301"/>
      <c r="W13" s="301"/>
      <c r="X13" s="301"/>
      <c r="Y13" s="301"/>
      <c r="Z13" s="301"/>
      <c r="AA13" s="301"/>
      <c r="AB13" s="301"/>
      <c r="AC13" s="301"/>
      <c r="AD13" s="1429"/>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4058"/>
      <c r="BE13" s="434"/>
      <c r="BF13" s="434" t="str">
        <f t="shared" si="1"/>
        <v>Добавить строку</v>
      </c>
      <c r="BG13" s="434"/>
      <c r="BH13" s="434"/>
      <c r="BI13" s="1079">
        <v>0</v>
      </c>
    </row>
    <row r="14" spans="1:61" s="1566" customFormat="1" ht="14.25" hidden="1" customHeight="1">
      <c r="A14" s="1267"/>
      <c r="B14" s="1267"/>
      <c r="C14" s="1267"/>
      <c r="D14" s="1267"/>
      <c r="E14" s="4034"/>
      <c r="F14" s="4034"/>
      <c r="G14" s="4034"/>
      <c r="H14" s="4034"/>
      <c r="I14" s="4035"/>
      <c r="J14" s="1267"/>
      <c r="K14" s="1267"/>
      <c r="L14" s="1270"/>
      <c r="M14" s="444"/>
      <c r="N14" s="444"/>
      <c r="O14" s="444"/>
      <c r="P14" s="4037"/>
      <c r="Q14" s="1405"/>
      <c r="R14" s="290"/>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4"/>
      <c r="BF14" s="434" t="str">
        <f t="shared" si="1"/>
        <v/>
      </c>
      <c r="BG14" s="434"/>
      <c r="BH14" s="434"/>
      <c r="BI14" s="445">
        <v>0</v>
      </c>
    </row>
    <row r="15" spans="1:61" s="1566" customFormat="1" ht="14.25" hidden="1" customHeight="1">
      <c r="A15" s="1267"/>
      <c r="B15" s="1267"/>
      <c r="C15" s="1267"/>
      <c r="D15" s="1267"/>
      <c r="E15" s="4034"/>
      <c r="F15" s="4034"/>
      <c r="G15" s="4034"/>
      <c r="H15" s="4033"/>
      <c r="I15" s="1267"/>
      <c r="J15" s="1267"/>
      <c r="K15" s="1267"/>
      <c r="L15" s="1270"/>
      <c r="M15" s="1239"/>
      <c r="N15" s="1239"/>
      <c r="O15" s="452"/>
      <c r="P15" s="314"/>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4"/>
      <c r="BF15" s="434" t="str">
        <f t="shared" si="1"/>
        <v/>
      </c>
      <c r="BG15" s="434"/>
      <c r="BH15" s="434"/>
      <c r="BI15" s="445">
        <v>0</v>
      </c>
    </row>
    <row r="16" spans="1:61" s="1566" customFormat="1" ht="14.25" hidden="1" customHeight="1">
      <c r="A16" s="1267"/>
      <c r="B16" s="1267"/>
      <c r="C16" s="1267"/>
      <c r="D16" s="1238"/>
      <c r="E16" s="4034"/>
      <c r="F16" s="4034"/>
      <c r="G16" s="4033"/>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7"/>
      <c r="BF16" s="717" t="str">
        <f t="shared" si="1"/>
        <v/>
      </c>
      <c r="BG16" s="717"/>
      <c r="BH16" s="717"/>
      <c r="BI16" s="452">
        <v>0</v>
      </c>
    </row>
    <row r="17" spans="1:61" s="1566" customFormat="1" ht="14.25" hidden="1" customHeight="1">
      <c r="A17" s="1267"/>
      <c r="B17" s="1267"/>
      <c r="C17" s="1238"/>
      <c r="D17" s="1238"/>
      <c r="E17" s="4034"/>
      <c r="F17" s="4033"/>
      <c r="G17" s="1238"/>
      <c r="H17" s="1238"/>
      <c r="I17" s="1238"/>
      <c r="J17" s="1238"/>
      <c r="K17" s="1238"/>
      <c r="L17" s="1418"/>
      <c r="M17" s="1245"/>
      <c r="N17" s="1245"/>
      <c r="P17" s="1240"/>
      <c r="Q17" s="1241"/>
      <c r="R17" s="1240"/>
      <c r="S17" s="1246"/>
      <c r="T17" s="1249" t="s">
        <v>236</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7"/>
      <c r="BF17" s="717" t="str">
        <f t="shared" si="1"/>
        <v>Добавить централизованную систему для дифференциации</v>
      </c>
      <c r="BG17" s="717"/>
      <c r="BH17" s="717"/>
      <c r="BI17" s="452">
        <v>0</v>
      </c>
    </row>
    <row r="18" spans="1:61" s="1566" customFormat="1" ht="14.25" hidden="1" customHeight="1">
      <c r="A18" s="1267"/>
      <c r="B18" s="1267"/>
      <c r="C18" s="1267"/>
      <c r="D18" s="1267"/>
      <c r="E18" s="4033"/>
      <c r="F18" s="1267"/>
      <c r="G18" s="1267"/>
      <c r="H18" s="1267"/>
      <c r="I18" s="1267"/>
      <c r="J18" s="1267"/>
      <c r="K18" s="1267"/>
      <c r="L18" s="1270"/>
      <c r="M18" s="1245"/>
      <c r="N18" s="1245"/>
      <c r="O18" s="452"/>
      <c r="P18" s="314"/>
      <c r="Q18" s="1268"/>
      <c r="R18" s="314"/>
      <c r="S18" s="1246"/>
      <c r="T18" s="1249" t="s">
        <v>286</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4"/>
      <c r="BF18" s="434" t="str">
        <f t="shared" si="1"/>
        <v>Добавить территорию для дифференциации</v>
      </c>
      <c r="BG18" s="434"/>
      <c r="BH18" s="434"/>
      <c r="BI18" s="445">
        <v>0</v>
      </c>
    </row>
    <row r="19" spans="1:61" ht="14.25" hidden="1" customHeight="1">
      <c r="AC19" s="262"/>
      <c r="BA19" s="262"/>
      <c r="BI19" s="1079">
        <v>0</v>
      </c>
    </row>
    <row r="20" spans="1:61" ht="14.25" hidden="1" customHeight="1">
      <c r="AD20" s="1248" t="s">
        <v>6</v>
      </c>
      <c r="AE20" s="1425"/>
      <c r="AF20" s="482">
        <v>1</v>
      </c>
      <c r="AG20" s="1426"/>
      <c r="AH20" s="1248" t="s">
        <v>6</v>
      </c>
      <c r="AI20" s="1425"/>
      <c r="AJ20" s="482">
        <v>1</v>
      </c>
      <c r="AK20" s="1426"/>
      <c r="AL20" s="1248" t="s">
        <v>6</v>
      </c>
      <c r="AM20" s="1427"/>
      <c r="AN20" s="482">
        <v>1</v>
      </c>
      <c r="AO20" s="1428"/>
      <c r="AP20" s="1248" t="s">
        <v>6</v>
      </c>
      <c r="AQ20" s="1427"/>
      <c r="AR20" s="482">
        <v>1</v>
      </c>
      <c r="AS20" s="1428"/>
      <c r="AT20" s="260"/>
      <c r="AU20" s="318"/>
      <c r="AV20" s="260"/>
      <c r="AW20" s="318"/>
      <c r="AX20" s="1632"/>
      <c r="AY20" s="1409" t="s">
        <v>53</v>
      </c>
      <c r="AZ20" s="1632"/>
      <c r="BA20" s="1409" t="s">
        <v>53</v>
      </c>
      <c r="BI20" s="1079">
        <v>0</v>
      </c>
    </row>
    <row r="21" spans="1:61" ht="14.25" hidden="1" customHeight="1">
      <c r="BD21" s="430"/>
      <c r="BE21" s="430"/>
      <c r="BF21" s="430"/>
      <c r="BG21" s="430"/>
      <c r="BH21" s="430"/>
      <c r="BI21" s="1079">
        <v>0</v>
      </c>
    </row>
    <row r="22" spans="1:61" ht="14.25" hidden="1" customHeight="1">
      <c r="O22" s="1291" t="s">
        <v>622</v>
      </c>
      <c r="Z22" s="1269"/>
      <c r="AB22" s="1269"/>
      <c r="AC22" s="262"/>
      <c r="AX22" s="1269"/>
      <c r="AZ22" s="1269"/>
      <c r="BA22" s="262"/>
      <c r="BD22" s="430"/>
      <c r="BE22" s="430"/>
      <c r="BF22" s="430"/>
      <c r="BG22" s="430"/>
      <c r="BH22" s="430"/>
      <c r="BI22" s="1079">
        <v>0</v>
      </c>
    </row>
    <row r="23" spans="1:61" ht="14.25" hidden="1" customHeight="1">
      <c r="AC23" s="262"/>
      <c r="BA23" s="262"/>
      <c r="BD23" s="430"/>
      <c r="BE23" s="430"/>
      <c r="BF23" s="430"/>
      <c r="BG23" s="430"/>
      <c r="BH23" s="430"/>
      <c r="BI23" s="1079">
        <v>0</v>
      </c>
    </row>
    <row r="24" spans="1:61" s="1433" customFormat="1" ht="14.25" hidden="1" customHeight="1">
      <c r="M24" s="1432"/>
      <c r="N24" s="1432"/>
      <c r="O24" s="1433" t="s">
        <v>623</v>
      </c>
      <c r="P24" s="1432"/>
      <c r="Q24" s="1434"/>
      <c r="R24" s="1434"/>
      <c r="AA24" s="1431" t="s">
        <v>625</v>
      </c>
      <c r="AC24" s="1431" t="s">
        <v>626</v>
      </c>
      <c r="AD24" s="1431" t="s">
        <v>678</v>
      </c>
      <c r="AH24" s="1431" t="s">
        <v>678</v>
      </c>
      <c r="AK24" s="1431" t="s">
        <v>715</v>
      </c>
      <c r="AL24" s="1431" t="s">
        <v>678</v>
      </c>
      <c r="AP24" s="1431" t="s">
        <v>678</v>
      </c>
      <c r="AY24" s="1431" t="s">
        <v>625</v>
      </c>
      <c r="BA24" s="1431" t="s">
        <v>626</v>
      </c>
      <c r="BD24" s="1435"/>
      <c r="BE24" s="1435"/>
      <c r="BF24" s="1435"/>
      <c r="BG24" s="1435"/>
      <c r="BH24" s="1435"/>
      <c r="BI24" s="1431">
        <v>0</v>
      </c>
    </row>
    <row r="25" spans="1:61" ht="14.25" hidden="1" customHeight="1">
      <c r="O25" s="1288"/>
      <c r="BD25" s="430"/>
      <c r="BE25" s="430"/>
      <c r="BF25" s="430"/>
      <c r="BG25" s="430"/>
      <c r="BH25" s="430"/>
      <c r="BI25" s="1079">
        <v>0</v>
      </c>
    </row>
    <row r="26" spans="1:61" ht="14.25" hidden="1" customHeight="1">
      <c r="O26" s="1288"/>
      <c r="BD26" s="430"/>
      <c r="BE26" s="430"/>
      <c r="BF26" s="430"/>
      <c r="BG26" s="430"/>
      <c r="BH26" s="430"/>
      <c r="BI26" s="1079">
        <v>0</v>
      </c>
    </row>
    <row r="27" spans="1:61" ht="14.65" customHeight="1">
      <c r="Q27" s="226"/>
      <c r="R27" s="310"/>
      <c r="S27" s="1199"/>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9">
        <v>14</v>
      </c>
    </row>
    <row r="28" spans="1:61" ht="14.65" customHeight="1">
      <c r="Q28" s="226"/>
      <c r="R28" s="310"/>
      <c r="S28" s="401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4014"/>
      <c r="U28" s="4014"/>
      <c r="V28" s="4014"/>
      <c r="W28" s="4014"/>
      <c r="X28" s="4014"/>
      <c r="Y28" s="4014"/>
      <c r="Z28" s="4014"/>
      <c r="AA28" s="4014"/>
      <c r="AB28" s="4014"/>
      <c r="AC28" s="4014"/>
      <c r="AD28" s="4014"/>
      <c r="AE28" s="4014"/>
      <c r="AF28" s="4014"/>
      <c r="AG28" s="4014"/>
      <c r="AH28" s="4014"/>
      <c r="AI28" s="4014"/>
      <c r="AJ28" s="4014"/>
      <c r="AK28" s="4014"/>
      <c r="AL28" s="4014"/>
      <c r="AM28" s="4014"/>
      <c r="AN28" s="4014"/>
      <c r="AO28" s="4014"/>
      <c r="AP28" s="4014"/>
      <c r="AQ28" s="4014"/>
      <c r="AR28" s="4014"/>
      <c r="AS28" s="4014"/>
      <c r="AT28" s="4014"/>
      <c r="AU28" s="4014"/>
      <c r="AV28" s="4014"/>
      <c r="AW28" s="4014"/>
      <c r="AX28" s="4014"/>
      <c r="AY28" s="4014"/>
      <c r="AZ28" s="4014"/>
      <c r="BA28" s="1167"/>
      <c r="BI28" s="1079">
        <v>14</v>
      </c>
    </row>
    <row r="29" spans="1:61" ht="14.65" customHeight="1">
      <c r="Q29" s="226"/>
      <c r="R29" s="310"/>
      <c r="S29" s="3987" t="str">
        <f>IF(org=0,"Не определено",org)</f>
        <v>ООО "Смоленскрегионтеплоэнерго"</v>
      </c>
      <c r="T29" s="3987"/>
      <c r="U29" s="3987"/>
      <c r="V29" s="3987"/>
      <c r="W29" s="3987"/>
      <c r="X29" s="3987"/>
      <c r="Y29" s="3987"/>
      <c r="Z29" s="3987"/>
      <c r="AA29" s="3987"/>
      <c r="AB29" s="3987"/>
      <c r="AC29" s="3987"/>
      <c r="AD29" s="3987"/>
      <c r="AE29" s="3987"/>
      <c r="AF29" s="3987"/>
      <c r="AG29" s="3987"/>
      <c r="AH29" s="3987"/>
      <c r="AI29" s="3987"/>
      <c r="AJ29" s="3987"/>
      <c r="AK29" s="3987"/>
      <c r="AL29" s="3987"/>
      <c r="AM29" s="3987"/>
      <c r="AN29" s="3987"/>
      <c r="AO29" s="3987"/>
      <c r="AP29" s="3987"/>
      <c r="AQ29" s="3987"/>
      <c r="AR29" s="3987"/>
      <c r="AS29" s="3987"/>
      <c r="AT29" s="3987"/>
      <c r="AU29" s="3987"/>
      <c r="AV29" s="3987"/>
      <c r="AW29" s="3987"/>
      <c r="AX29" s="3987"/>
      <c r="AY29" s="3987"/>
      <c r="AZ29" s="3987"/>
      <c r="BA29" s="1167"/>
      <c r="BI29" s="1079">
        <v>14</v>
      </c>
    </row>
    <row r="30" spans="1:61" ht="14.25" hidden="1" customHeight="1">
      <c r="Q30" s="226"/>
      <c r="R30" s="310"/>
      <c r="S30" s="1199"/>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9">
        <v>0</v>
      </c>
    </row>
    <row r="31" spans="1:61" s="1748" customFormat="1" ht="25.5" hidden="1" customHeight="1">
      <c r="A31" s="1292"/>
      <c r="B31" s="1292"/>
      <c r="C31" s="1292"/>
      <c r="D31" s="1292"/>
      <c r="E31" s="1292"/>
      <c r="F31" s="1292"/>
      <c r="G31" s="1292"/>
      <c r="H31" s="1292"/>
      <c r="I31" s="1292"/>
      <c r="J31" s="1292"/>
      <c r="K31" s="1292"/>
      <c r="L31" s="1293"/>
      <c r="M31" s="1292"/>
      <c r="N31" s="1292"/>
      <c r="O31" s="1292"/>
      <c r="P31" s="1292"/>
      <c r="Q31" s="1292"/>
      <c r="S31" s="4024" t="s">
        <v>29</v>
      </c>
      <c r="T31" s="4024"/>
      <c r="U31" s="1296"/>
      <c r="V31" s="4026" t="str">
        <f>IF(TITLE_NAME_OR_PR_CHANGE="",IF(TITLE_NAME_OR_PR="","",TITLE_NAME_OR_PR),TITLE_NAME_OR_PR_CHANGE)</f>
        <v/>
      </c>
      <c r="W31" s="4026"/>
      <c r="X31" s="4026"/>
      <c r="Y31" s="4026"/>
      <c r="Z31" s="4026"/>
      <c r="AA31" s="4026"/>
      <c r="AB31" s="4026"/>
      <c r="AC31" s="261"/>
      <c r="AD31" s="4026" t="str">
        <f>IF(TITLE_NAME_OR_PR_CHANGE="",IF(TITLE_NAME_OR_PR="","",TITLE_NAME_OR_PR),TITLE_NAME_OR_PR_CHANGE)</f>
        <v/>
      </c>
      <c r="AE31" s="4026"/>
      <c r="AF31" s="4026"/>
      <c r="AG31" s="4026"/>
      <c r="AH31" s="4026"/>
      <c r="AI31" s="4026"/>
      <c r="AJ31" s="4026"/>
      <c r="AK31" s="4026"/>
      <c r="AL31" s="4026"/>
      <c r="AM31" s="4026"/>
      <c r="AN31" s="4026"/>
      <c r="AO31" s="4026"/>
      <c r="AP31" s="4026"/>
      <c r="AQ31" s="4026"/>
      <c r="AR31" s="4026"/>
      <c r="AS31" s="4026"/>
      <c r="AT31" s="4026"/>
      <c r="AU31" s="4026"/>
      <c r="AV31" s="4026"/>
      <c r="AW31" s="4026"/>
      <c r="AX31" s="4026"/>
      <c r="AY31" s="4026"/>
      <c r="AZ31" s="4026"/>
      <c r="BA31" s="261"/>
      <c r="BB31" s="261"/>
      <c r="BC31" s="215"/>
      <c r="BD31" s="302"/>
      <c r="BE31" s="302"/>
      <c r="BF31" s="302"/>
      <c r="BG31" s="302"/>
      <c r="BH31" s="302"/>
      <c r="BI31" s="352">
        <v>0</v>
      </c>
    </row>
    <row r="32" spans="1:61" s="1748" customFormat="1" ht="18.75" hidden="1" customHeight="1">
      <c r="A32" s="1292"/>
      <c r="B32" s="1292"/>
      <c r="C32" s="1292"/>
      <c r="D32" s="1292"/>
      <c r="E32" s="1292"/>
      <c r="F32" s="1292"/>
      <c r="G32" s="1292"/>
      <c r="H32" s="1292"/>
      <c r="I32" s="1292"/>
      <c r="J32" s="1292"/>
      <c r="K32" s="1292"/>
      <c r="L32" s="1293"/>
      <c r="M32" s="1292"/>
      <c r="N32" s="1292"/>
      <c r="O32" s="1292"/>
      <c r="P32" s="1292"/>
      <c r="Q32" s="1292"/>
      <c r="S32" s="4024" t="s">
        <v>628</v>
      </c>
      <c r="T32" s="4024"/>
      <c r="U32" s="1296"/>
      <c r="V32" s="4025">
        <f>IF(TITLE_DATE_PR_CHANGE="",IF(TITLE_DATE_PR="","",TITLE_DATE_PR),TITLE_DATE_PR_CHANGE)</f>
        <v>45765</v>
      </c>
      <c r="W32" s="4025"/>
      <c r="X32" s="4025"/>
      <c r="Y32" s="4025"/>
      <c r="Z32" s="4025"/>
      <c r="AA32" s="4025"/>
      <c r="AB32" s="4025"/>
      <c r="AC32" s="261"/>
      <c r="AD32" s="4025">
        <f>IF(TITLE_DATE_PR_CHANGE="",IF(TITLE_DATE_PR="","",TITLE_DATE_PR),TITLE_DATE_PR_CHANGE)</f>
        <v>45765</v>
      </c>
      <c r="AE32" s="4025"/>
      <c r="AF32" s="4025"/>
      <c r="AG32" s="4025"/>
      <c r="AH32" s="4025"/>
      <c r="AI32" s="4025"/>
      <c r="AJ32" s="4025"/>
      <c r="AK32" s="4025"/>
      <c r="AL32" s="4025"/>
      <c r="AM32" s="4025"/>
      <c r="AN32" s="4025"/>
      <c r="AO32" s="4025"/>
      <c r="AP32" s="4025"/>
      <c r="AQ32" s="4025"/>
      <c r="AR32" s="4025"/>
      <c r="AS32" s="4025"/>
      <c r="AT32" s="4025"/>
      <c r="AU32" s="4025"/>
      <c r="AV32" s="4025"/>
      <c r="AW32" s="4025"/>
      <c r="AX32" s="4025"/>
      <c r="AY32" s="4025"/>
      <c r="AZ32" s="4025"/>
      <c r="BA32" s="261"/>
      <c r="BB32" s="261"/>
      <c r="BC32" s="215"/>
      <c r="BD32" s="302"/>
      <c r="BE32" s="302"/>
      <c r="BF32" s="302"/>
      <c r="BG32" s="302"/>
      <c r="BH32" s="302"/>
      <c r="BI32" s="352">
        <v>0</v>
      </c>
    </row>
    <row r="33" spans="1:61" s="1748" customFormat="1" ht="18.75" hidden="1" customHeight="1">
      <c r="A33" s="1292"/>
      <c r="B33" s="1292"/>
      <c r="C33" s="1292"/>
      <c r="D33" s="1292"/>
      <c r="E33" s="1292"/>
      <c r="F33" s="1292"/>
      <c r="G33" s="1292"/>
      <c r="H33" s="1292"/>
      <c r="I33" s="1292"/>
      <c r="J33" s="1292"/>
      <c r="K33" s="1292"/>
      <c r="L33" s="1293"/>
      <c r="M33" s="1292"/>
      <c r="N33" s="1292"/>
      <c r="O33" s="1292"/>
      <c r="P33" s="1292"/>
      <c r="Q33" s="1292"/>
      <c r="S33" s="4024" t="s">
        <v>629</v>
      </c>
      <c r="T33" s="4024"/>
      <c r="U33" s="1296"/>
      <c r="V33" s="4026" t="str">
        <f>IF(TITLE_NUMBER_PR_CHANGE="",IF(TITLE_NUMBER_PR="","",TITLE_NUMBER_PR),TITLE_NUMBER_PR_CHANGE)</f>
        <v>917</v>
      </c>
      <c r="W33" s="4026"/>
      <c r="X33" s="4026"/>
      <c r="Y33" s="4026"/>
      <c r="Z33" s="4026"/>
      <c r="AA33" s="4026"/>
      <c r="AB33" s="4026"/>
      <c r="AC33" s="261"/>
      <c r="AD33" s="4026" t="str">
        <f>IF(TITLE_NUMBER_PR_CHANGE="",IF(TITLE_NUMBER_PR="","",TITLE_NUMBER_PR),TITLE_NUMBER_PR_CHANGE)</f>
        <v>917</v>
      </c>
      <c r="AE33" s="4026"/>
      <c r="AF33" s="4026"/>
      <c r="AG33" s="4026"/>
      <c r="AH33" s="4026"/>
      <c r="AI33" s="4026"/>
      <c r="AJ33" s="4026"/>
      <c r="AK33" s="4026"/>
      <c r="AL33" s="4026"/>
      <c r="AM33" s="4026"/>
      <c r="AN33" s="4026"/>
      <c r="AO33" s="4026"/>
      <c r="AP33" s="4026"/>
      <c r="AQ33" s="4026"/>
      <c r="AR33" s="4026"/>
      <c r="AS33" s="4026"/>
      <c r="AT33" s="4026"/>
      <c r="AU33" s="4026"/>
      <c r="AV33" s="4026"/>
      <c r="AW33" s="4026"/>
      <c r="AX33" s="4026"/>
      <c r="AY33" s="4026"/>
      <c r="AZ33" s="4026"/>
      <c r="BA33" s="261"/>
      <c r="BB33" s="261"/>
      <c r="BC33" s="215"/>
      <c r="BD33" s="302"/>
      <c r="BE33" s="302"/>
      <c r="BF33" s="302"/>
      <c r="BG33" s="302"/>
      <c r="BH33" s="302"/>
      <c r="BI33" s="352">
        <v>0</v>
      </c>
    </row>
    <row r="34" spans="1:61" s="1748" customFormat="1" ht="18.75" hidden="1" customHeight="1">
      <c r="A34" s="1292"/>
      <c r="B34" s="1292"/>
      <c r="C34" s="1292"/>
      <c r="D34" s="1292"/>
      <c r="E34" s="1292"/>
      <c r="F34" s="1292"/>
      <c r="G34" s="1292"/>
      <c r="H34" s="1292"/>
      <c r="I34" s="1292"/>
      <c r="J34" s="1292"/>
      <c r="K34" s="1292"/>
      <c r="L34" s="1293"/>
      <c r="M34" s="1292"/>
      <c r="N34" s="1292"/>
      <c r="O34" s="1292"/>
      <c r="P34" s="1292"/>
      <c r="Q34" s="1292"/>
      <c r="S34" s="4024" t="s">
        <v>30</v>
      </c>
      <c r="T34" s="4024"/>
      <c r="U34" s="1296"/>
      <c r="V34" s="4026" t="str">
        <f>IF(TITLE_IST_PUB_CHANGE="",IF(TITLE_IST_PUB="","",TITLE_IST_PUB),TITLE_IST_PUB_CHANGE)</f>
        <v/>
      </c>
      <c r="W34" s="4026"/>
      <c r="X34" s="4026"/>
      <c r="Y34" s="4026"/>
      <c r="Z34" s="4026"/>
      <c r="AA34" s="4026"/>
      <c r="AB34" s="4026"/>
      <c r="AC34" s="261"/>
      <c r="AD34" s="4026" t="str">
        <f>IF(TITLE_IST_PUB_CHANGE="",IF(TITLE_IST_PUB="","",TITLE_IST_PUB),TITLE_IST_PUB_CHANGE)</f>
        <v/>
      </c>
      <c r="AE34" s="4026"/>
      <c r="AF34" s="4026"/>
      <c r="AG34" s="4026"/>
      <c r="AH34" s="4026"/>
      <c r="AI34" s="4026"/>
      <c r="AJ34" s="4026"/>
      <c r="AK34" s="4026"/>
      <c r="AL34" s="4026"/>
      <c r="AM34" s="4026"/>
      <c r="AN34" s="4026"/>
      <c r="AO34" s="4026"/>
      <c r="AP34" s="4026"/>
      <c r="AQ34" s="4026"/>
      <c r="AR34" s="4026"/>
      <c r="AS34" s="4026"/>
      <c r="AT34" s="4026"/>
      <c r="AU34" s="4026"/>
      <c r="AV34" s="4026"/>
      <c r="AW34" s="4026"/>
      <c r="AX34" s="4026"/>
      <c r="AY34" s="4026"/>
      <c r="AZ34" s="4026"/>
      <c r="BA34" s="261"/>
      <c r="BB34" s="261"/>
      <c r="BC34" s="215"/>
      <c r="BD34" s="302"/>
      <c r="BE34" s="302"/>
      <c r="BF34" s="302"/>
      <c r="BG34" s="302"/>
      <c r="BH34" s="302"/>
      <c r="BI34" s="352">
        <v>0</v>
      </c>
    </row>
    <row r="35" spans="1:61" ht="14.25" customHeight="1">
      <c r="Q35" s="226"/>
      <c r="R35" s="310"/>
      <c r="S35" s="1199"/>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9">
        <v>0</v>
      </c>
    </row>
    <row r="36" spans="1:61" s="1748" customFormat="1" ht="18.75" customHeight="1">
      <c r="A36" s="1292"/>
      <c r="B36" s="1292"/>
      <c r="C36" s="1292"/>
      <c r="D36" s="1292"/>
      <c r="E36" s="1292"/>
      <c r="F36" s="1292"/>
      <c r="G36" s="1292"/>
      <c r="H36" s="1292"/>
      <c r="I36" s="1292"/>
      <c r="J36" s="1292"/>
      <c r="K36" s="1292"/>
      <c r="L36" s="1293"/>
      <c r="M36" s="1292"/>
      <c r="N36" s="1292"/>
      <c r="O36" s="1292"/>
      <c r="P36" s="1292"/>
      <c r="Q36" s="1292"/>
      <c r="S36" s="4024" t="s">
        <v>628</v>
      </c>
      <c r="T36" s="4024"/>
      <c r="U36" s="1296"/>
      <c r="V36" s="4025">
        <f>IF(TITLE_DATE_PR_CHANGE="",IF(TITLE_DATE_PR="","",TITLE_DATE_PR),TITLE_DATE_PR_CHANGE)</f>
        <v>45765</v>
      </c>
      <c r="W36" s="4025"/>
      <c r="X36" s="4025"/>
      <c r="Y36" s="4025"/>
      <c r="Z36" s="4025"/>
      <c r="AA36" s="4025"/>
      <c r="AB36" s="4025"/>
      <c r="AC36" s="261"/>
      <c r="AD36" s="4025">
        <f>IF(TITLE_DATE_PR_CHANGE="",IF(TITLE_DATE_PR="","",TITLE_DATE_PR),TITLE_DATE_PR_CHANGE)</f>
        <v>45765</v>
      </c>
      <c r="AE36" s="4025"/>
      <c r="AF36" s="4025"/>
      <c r="AG36" s="4025"/>
      <c r="AH36" s="4025"/>
      <c r="AI36" s="4025"/>
      <c r="AJ36" s="4025"/>
      <c r="AK36" s="4025"/>
      <c r="AL36" s="4025"/>
      <c r="AM36" s="4025"/>
      <c r="AN36" s="4025"/>
      <c r="AO36" s="4025"/>
      <c r="AP36" s="4025"/>
      <c r="AQ36" s="4025"/>
      <c r="AR36" s="4025"/>
      <c r="AS36" s="4025"/>
      <c r="AT36" s="4025"/>
      <c r="AU36" s="4025"/>
      <c r="AV36" s="4025"/>
      <c r="AW36" s="4025"/>
      <c r="AX36" s="4025"/>
      <c r="AY36" s="4025"/>
      <c r="AZ36" s="4025"/>
      <c r="BA36" s="261"/>
      <c r="BB36" s="261"/>
      <c r="BC36" s="215"/>
      <c r="BD36" s="302"/>
      <c r="BE36" s="302"/>
      <c r="BF36" s="302"/>
      <c r="BG36" s="302"/>
      <c r="BH36" s="302"/>
      <c r="BI36" s="352">
        <v>0</v>
      </c>
    </row>
    <row r="37" spans="1:61" s="1748" customFormat="1" ht="18.75" customHeight="1">
      <c r="A37" s="1292"/>
      <c r="B37" s="1292"/>
      <c r="C37" s="1292"/>
      <c r="D37" s="1292"/>
      <c r="E37" s="1292"/>
      <c r="F37" s="1292"/>
      <c r="G37" s="1292"/>
      <c r="H37" s="1292"/>
      <c r="I37" s="1292"/>
      <c r="J37" s="1292"/>
      <c r="K37" s="1292"/>
      <c r="L37" s="1293"/>
      <c r="M37" s="1292"/>
      <c r="N37" s="1292"/>
      <c r="O37" s="1292"/>
      <c r="P37" s="1292"/>
      <c r="Q37" s="1292"/>
      <c r="S37" s="4024" t="s">
        <v>629</v>
      </c>
      <c r="T37" s="4024"/>
      <c r="U37" s="1296"/>
      <c r="V37" s="4026" t="str">
        <f>IF(TITLE_NUMBER_PR_CHANGE="",IF(TITLE_NUMBER_PR="","",TITLE_NUMBER_PR),TITLE_NUMBER_PR_CHANGE)</f>
        <v>917</v>
      </c>
      <c r="W37" s="4026"/>
      <c r="X37" s="4026"/>
      <c r="Y37" s="4026"/>
      <c r="Z37" s="4026"/>
      <c r="AA37" s="4026"/>
      <c r="AB37" s="4026"/>
      <c r="AC37" s="261"/>
      <c r="AD37" s="4026" t="str">
        <f>IF(TITLE_NUMBER_PR_CHANGE="",IF(TITLE_NUMBER_PR="","",TITLE_NUMBER_PR),TITLE_NUMBER_PR_CHANGE)</f>
        <v>917</v>
      </c>
      <c r="AE37" s="4026"/>
      <c r="AF37" s="4026"/>
      <c r="AG37" s="4026"/>
      <c r="AH37" s="4026"/>
      <c r="AI37" s="4026"/>
      <c r="AJ37" s="4026"/>
      <c r="AK37" s="4026"/>
      <c r="AL37" s="4026"/>
      <c r="AM37" s="4026"/>
      <c r="AN37" s="4026"/>
      <c r="AO37" s="4026"/>
      <c r="AP37" s="4026"/>
      <c r="AQ37" s="4026"/>
      <c r="AR37" s="4026"/>
      <c r="AS37" s="4026"/>
      <c r="AT37" s="4026"/>
      <c r="AU37" s="4026"/>
      <c r="AV37" s="4026"/>
      <c r="AW37" s="4026"/>
      <c r="AX37" s="4026"/>
      <c r="AY37" s="4026"/>
      <c r="AZ37" s="4026"/>
      <c r="BA37" s="261"/>
      <c r="BB37" s="261"/>
      <c r="BC37" s="215"/>
      <c r="BD37" s="302"/>
      <c r="BE37" s="302"/>
      <c r="BF37" s="302"/>
      <c r="BG37" s="302"/>
      <c r="BH37" s="302"/>
      <c r="BI37" s="352">
        <v>0</v>
      </c>
    </row>
    <row r="38" spans="1:61" s="1748" customFormat="1" ht="0" hidden="1" customHeight="1">
      <c r="A38" s="1292"/>
      <c r="B38" s="1292"/>
      <c r="C38" s="1292"/>
      <c r="D38" s="1292"/>
      <c r="E38" s="1292"/>
      <c r="F38" s="1292"/>
      <c r="G38" s="1292"/>
      <c r="H38" s="1292"/>
      <c r="I38" s="1292"/>
      <c r="J38" s="1292"/>
      <c r="K38" s="1292"/>
      <c r="L38" s="1293"/>
      <c r="M38" s="1292"/>
      <c r="N38" s="1292"/>
      <c r="O38" s="1292"/>
      <c r="P38" s="1292"/>
      <c r="Q38" s="1292"/>
      <c r="S38" s="258"/>
      <c r="T38" s="258"/>
      <c r="U38" s="1412"/>
      <c r="V38" s="261"/>
      <c r="W38" s="261"/>
      <c r="X38" s="261"/>
      <c r="Y38" s="261"/>
      <c r="Z38" s="261"/>
      <c r="AA38" s="261"/>
      <c r="AB38" s="261"/>
      <c r="AC38" s="213" t="s">
        <v>632</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632</v>
      </c>
      <c r="BD38" s="302"/>
      <c r="BE38" s="302"/>
      <c r="BF38" s="302"/>
      <c r="BG38" s="302"/>
      <c r="BH38" s="302"/>
      <c r="BI38" s="352">
        <v>0</v>
      </c>
    </row>
    <row r="39" spans="1:61" ht="14.65" customHeight="1">
      <c r="Q39" s="226"/>
      <c r="R39" s="310"/>
      <c r="S39" s="1199"/>
      <c r="T39" s="297"/>
      <c r="U39" s="1168"/>
      <c r="V39" s="4045"/>
      <c r="W39" s="4045"/>
      <c r="X39" s="4045"/>
      <c r="Y39" s="4045"/>
      <c r="Z39" s="4045"/>
      <c r="AA39" s="4045"/>
      <c r="AB39" s="4045"/>
      <c r="AC39" s="4045"/>
      <c r="AD39" s="4045"/>
      <c r="AE39" s="4045"/>
      <c r="AF39" s="4045"/>
      <c r="AG39" s="4045"/>
      <c r="AH39" s="4045"/>
      <c r="AI39" s="4045"/>
      <c r="AJ39" s="4045"/>
      <c r="AK39" s="4045"/>
      <c r="AL39" s="4045"/>
      <c r="AM39" s="4045"/>
      <c r="AN39" s="4045"/>
      <c r="AO39" s="4045"/>
      <c r="AP39" s="4045"/>
      <c r="AQ39" s="4045"/>
      <c r="AR39" s="4045"/>
      <c r="AS39" s="4045"/>
      <c r="AT39" s="4045"/>
      <c r="AU39" s="4045"/>
      <c r="AV39" s="4045"/>
      <c r="AW39" s="4045"/>
      <c r="AX39" s="4045"/>
      <c r="AY39" s="4045"/>
      <c r="AZ39" s="4045"/>
      <c r="BA39" s="4045"/>
      <c r="BI39" s="1079">
        <v>14</v>
      </c>
    </row>
    <row r="40" spans="1:61" ht="14.65" customHeight="1">
      <c r="Q40" s="226"/>
      <c r="R40" s="310"/>
      <c r="S40" s="3889" t="s">
        <v>508</v>
      </c>
      <c r="T40" s="3889"/>
      <c r="U40" s="3889"/>
      <c r="V40" s="3889"/>
      <c r="W40" s="3889"/>
      <c r="X40" s="3889"/>
      <c r="Y40" s="3889"/>
      <c r="Z40" s="3889"/>
      <c r="AA40" s="3889"/>
      <c r="AB40" s="3889"/>
      <c r="AC40" s="3889"/>
      <c r="AD40" s="3889"/>
      <c r="AE40" s="3889"/>
      <c r="AF40" s="3889"/>
      <c r="AG40" s="3889"/>
      <c r="AH40" s="3889"/>
      <c r="AI40" s="3889"/>
      <c r="AJ40" s="3889"/>
      <c r="AK40" s="3889"/>
      <c r="AL40" s="3889"/>
      <c r="AM40" s="3889"/>
      <c r="AN40" s="3889"/>
      <c r="AO40" s="3889"/>
      <c r="AP40" s="3889"/>
      <c r="AQ40" s="3889"/>
      <c r="AR40" s="3889"/>
      <c r="AS40" s="3889"/>
      <c r="AT40" s="3889"/>
      <c r="AU40" s="3889"/>
      <c r="AV40" s="3889"/>
      <c r="AW40" s="3889"/>
      <c r="AX40" s="3889"/>
      <c r="AY40" s="3889"/>
      <c r="AZ40" s="3889"/>
      <c r="BA40" s="3889"/>
      <c r="BB40" s="3889"/>
      <c r="BC40" s="3889" t="s">
        <v>509</v>
      </c>
      <c r="BI40" s="1079">
        <v>14</v>
      </c>
    </row>
    <row r="41" spans="1:61" ht="14.65" customHeight="1">
      <c r="Q41" s="226"/>
      <c r="R41" s="310"/>
      <c r="S41" s="4046" t="s">
        <v>75</v>
      </c>
      <c r="T41" s="3995" t="s">
        <v>716</v>
      </c>
      <c r="U41" s="236"/>
      <c r="V41" s="4047" t="s">
        <v>634</v>
      </c>
      <c r="W41" s="4048"/>
      <c r="X41" s="4048"/>
      <c r="Y41" s="4048"/>
      <c r="Z41" s="4048"/>
      <c r="AA41" s="4048"/>
      <c r="AB41" s="4049"/>
      <c r="AC41" s="4050" t="s">
        <v>635</v>
      </c>
      <c r="AD41" s="4079" t="s">
        <v>733</v>
      </c>
      <c r="AE41" s="4063"/>
      <c r="AF41" s="4063"/>
      <c r="AG41" s="4080"/>
      <c r="AH41" s="4079" t="s">
        <v>734</v>
      </c>
      <c r="AI41" s="4063"/>
      <c r="AJ41" s="4063"/>
      <c r="AK41" s="4080"/>
      <c r="AL41" s="4079" t="s">
        <v>735</v>
      </c>
      <c r="AM41" s="4063"/>
      <c r="AN41" s="4063"/>
      <c r="AO41" s="4080"/>
      <c r="AP41" s="4079" t="s">
        <v>720</v>
      </c>
      <c r="AQ41" s="4063"/>
      <c r="AR41" s="4063"/>
      <c r="AS41" s="4080"/>
      <c r="AT41" s="4047" t="s">
        <v>634</v>
      </c>
      <c r="AU41" s="4048"/>
      <c r="AV41" s="4048"/>
      <c r="AW41" s="4048"/>
      <c r="AX41" s="4048"/>
      <c r="AY41" s="4048"/>
      <c r="AZ41" s="4049"/>
      <c r="BA41" s="4050" t="s">
        <v>635</v>
      </c>
      <c r="BB41" s="4053" t="s">
        <v>637</v>
      </c>
      <c r="BC41" s="3889"/>
      <c r="BI41" s="1079">
        <v>14</v>
      </c>
    </row>
    <row r="42" spans="1:61" ht="35.65" customHeight="1">
      <c r="Q42" s="226"/>
      <c r="R42" s="310"/>
      <c r="S42" s="4046"/>
      <c r="T42" s="3995"/>
      <c r="U42" s="958"/>
      <c r="V42" s="3968" t="s">
        <v>721</v>
      </c>
      <c r="W42" s="3969"/>
      <c r="X42" s="3968" t="s">
        <v>722</v>
      </c>
      <c r="Y42" s="3969"/>
      <c r="Z42" s="3968" t="s">
        <v>723</v>
      </c>
      <c r="AA42" s="4075"/>
      <c r="AB42" s="3969"/>
      <c r="AC42" s="4051"/>
      <c r="AD42" s="4081"/>
      <c r="AE42" s="4082"/>
      <c r="AF42" s="4082"/>
      <c r="AG42" s="4094"/>
      <c r="AH42" s="4081"/>
      <c r="AI42" s="4082"/>
      <c r="AJ42" s="4082"/>
      <c r="AK42" s="4094"/>
      <c r="AL42" s="4081"/>
      <c r="AM42" s="4082"/>
      <c r="AN42" s="4082"/>
      <c r="AO42" s="4094"/>
      <c r="AP42" s="4081"/>
      <c r="AQ42" s="4082"/>
      <c r="AR42" s="4082"/>
      <c r="AS42" s="4094"/>
      <c r="AT42" s="3968" t="s">
        <v>736</v>
      </c>
      <c r="AU42" s="3969"/>
      <c r="AV42" s="3968" t="s">
        <v>737</v>
      </c>
      <c r="AW42" s="3969"/>
      <c r="AX42" s="3968" t="s">
        <v>723</v>
      </c>
      <c r="AY42" s="4075"/>
      <c r="AZ42" s="3969"/>
      <c r="BA42" s="4051"/>
      <c r="BB42" s="4054"/>
      <c r="BC42" s="3889"/>
      <c r="BI42" s="1079">
        <v>34</v>
      </c>
    </row>
    <row r="43" spans="1:61" ht="14.65" customHeight="1">
      <c r="Q43" s="226"/>
      <c r="R43" s="310"/>
      <c r="S43" s="4046"/>
      <c r="T43" s="3995"/>
      <c r="U43" s="958"/>
      <c r="V43" s="3973"/>
      <c r="W43" s="3974"/>
      <c r="X43" s="3973"/>
      <c r="Y43" s="3974"/>
      <c r="Z43" s="3973"/>
      <c r="AA43" s="4076"/>
      <c r="AB43" s="3974"/>
      <c r="AC43" s="4051"/>
      <c r="AD43" s="4081"/>
      <c r="AE43" s="4082"/>
      <c r="AF43" s="4082"/>
      <c r="AG43" s="4094"/>
      <c r="AH43" s="4081"/>
      <c r="AI43" s="4082"/>
      <c r="AJ43" s="4082"/>
      <c r="AK43" s="4094"/>
      <c r="AL43" s="4081"/>
      <c r="AM43" s="4082"/>
      <c r="AN43" s="4082"/>
      <c r="AO43" s="4094"/>
      <c r="AP43" s="4081"/>
      <c r="AQ43" s="4082"/>
      <c r="AR43" s="4082"/>
      <c r="AS43" s="4094"/>
      <c r="AT43" s="3973"/>
      <c r="AU43" s="3974"/>
      <c r="AV43" s="3973"/>
      <c r="AW43" s="3974"/>
      <c r="AX43" s="3973"/>
      <c r="AY43" s="4076"/>
      <c r="AZ43" s="3974"/>
      <c r="BA43" s="4051"/>
      <c r="BB43" s="4054"/>
      <c r="BC43" s="3889"/>
      <c r="BI43" s="1079">
        <v>14</v>
      </c>
    </row>
    <row r="44" spans="1:61" ht="14.65" customHeight="1">
      <c r="A44" s="1294"/>
      <c r="B44" s="1294" t="s">
        <v>207</v>
      </c>
      <c r="C44" s="1294" t="s">
        <v>208</v>
      </c>
      <c r="D44" s="1294" t="s">
        <v>209</v>
      </c>
      <c r="E44" s="1288" t="s">
        <v>642</v>
      </c>
      <c r="F44" s="1288" t="s">
        <v>643</v>
      </c>
      <c r="G44" s="1288" t="s">
        <v>644</v>
      </c>
      <c r="H44" s="1288" t="s">
        <v>645</v>
      </c>
      <c r="I44" s="1288" t="s">
        <v>646</v>
      </c>
      <c r="J44" s="1288" t="s">
        <v>647</v>
      </c>
      <c r="K44" s="1288" t="s">
        <v>648</v>
      </c>
      <c r="L44" s="1288" t="s">
        <v>623</v>
      </c>
      <c r="Q44" s="226"/>
      <c r="R44" s="310"/>
      <c r="S44" s="4046"/>
      <c r="T44" s="3995"/>
      <c r="U44" s="237"/>
      <c r="V44" s="1403" t="s">
        <v>687</v>
      </c>
      <c r="W44" s="1403" t="s">
        <v>688</v>
      </c>
      <c r="X44" s="1403" t="s">
        <v>687</v>
      </c>
      <c r="Y44" s="1403" t="s">
        <v>688</v>
      </c>
      <c r="Z44" s="1413" t="s">
        <v>651</v>
      </c>
      <c r="AA44" s="4000" t="s">
        <v>652</v>
      </c>
      <c r="AB44" s="4013"/>
      <c r="AC44" s="4052"/>
      <c r="AD44" s="4083"/>
      <c r="AE44" s="4084"/>
      <c r="AF44" s="4084"/>
      <c r="AG44" s="4085"/>
      <c r="AH44" s="4083"/>
      <c r="AI44" s="4084"/>
      <c r="AJ44" s="4084"/>
      <c r="AK44" s="4085"/>
      <c r="AL44" s="4083"/>
      <c r="AM44" s="4084"/>
      <c r="AN44" s="4084"/>
      <c r="AO44" s="4085"/>
      <c r="AP44" s="4083"/>
      <c r="AQ44" s="4084"/>
      <c r="AR44" s="4084"/>
      <c r="AS44" s="4085"/>
      <c r="AT44" s="1403" t="s">
        <v>687</v>
      </c>
      <c r="AU44" s="1403" t="s">
        <v>688</v>
      </c>
      <c r="AV44" s="1403" t="s">
        <v>687</v>
      </c>
      <c r="AW44" s="1403" t="s">
        <v>688</v>
      </c>
      <c r="AX44" s="1413" t="s">
        <v>651</v>
      </c>
      <c r="AY44" s="4000" t="s">
        <v>652</v>
      </c>
      <c r="AZ44" s="4013"/>
      <c r="BA44" s="4052"/>
      <c r="BB44" s="4055"/>
      <c r="BC44" s="3889"/>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4"/>
      <c r="Q45" s="1178"/>
      <c r="R45" s="1178">
        <v>1</v>
      </c>
      <c r="S45" s="1201" t="s">
        <v>184</v>
      </c>
      <c r="T45" s="1179" t="s">
        <v>89</v>
      </c>
      <c r="U45" s="1169" t="str">
        <f ca="1">OFFSET(U45,0,-1)</f>
        <v>2</v>
      </c>
      <c r="V45" s="1406">
        <f t="shared" ref="V45:AA45" ca="1" si="2">OFFSET(V45,0,-1)+1</f>
        <v>3</v>
      </c>
      <c r="W45" s="1406">
        <f t="shared" ca="1" si="2"/>
        <v>4</v>
      </c>
      <c r="X45" s="1406">
        <f t="shared" ca="1" si="2"/>
        <v>5</v>
      </c>
      <c r="Y45" s="1406">
        <f t="shared" ca="1" si="2"/>
        <v>6</v>
      </c>
      <c r="Z45" s="1406">
        <f t="shared" ca="1" si="2"/>
        <v>7</v>
      </c>
      <c r="AA45" s="4044">
        <f t="shared" ca="1" si="2"/>
        <v>8</v>
      </c>
      <c r="AB45" s="4044"/>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4044">
        <f ca="1">OFFSET(AY45,0,-1)+1</f>
        <v>3</v>
      </c>
      <c r="AZ45" s="4044"/>
      <c r="BA45" s="1406">
        <f ca="1">OFFSET(BA45,0,-2)+1</f>
        <v>4</v>
      </c>
      <c r="BB45" s="1169">
        <f ca="1">OFFSET(BB45,0,-1)</f>
        <v>4</v>
      </c>
      <c r="BC45" s="1406">
        <f ca="1">OFFSET(BC45,0,-1)+1</f>
        <v>5</v>
      </c>
      <c r="BD45" s="445"/>
      <c r="BE45" s="445"/>
      <c r="BF45" s="445"/>
      <c r="BG45" s="445"/>
      <c r="BH45" s="445"/>
      <c r="BI45" s="430">
        <v>0</v>
      </c>
    </row>
    <row r="46" spans="1:61" ht="21.95" customHeight="1">
      <c r="A46" s="1287" t="s">
        <v>484</v>
      </c>
      <c r="B46" s="1287"/>
      <c r="C46" s="1287"/>
      <c r="D46" s="1287"/>
      <c r="E46" s="4033">
        <v>1</v>
      </c>
      <c r="F46" s="1287"/>
      <c r="G46" s="1287"/>
      <c r="H46" s="1287"/>
      <c r="I46" s="1287"/>
      <c r="J46" s="1287"/>
      <c r="K46" s="1287"/>
      <c r="L46" s="1288"/>
      <c r="M46" s="1289"/>
      <c r="N46" s="1289"/>
      <c r="O46" s="1289"/>
      <c r="P46" s="1333"/>
      <c r="Q46" s="801"/>
      <c r="R46" s="289"/>
      <c r="S46" s="1417">
        <f>INDEX(PT_DIFFERENTIATION_NUM_NTAR,MATCH(A46,PT_DIFFERENTIATION_NTAR_ID,0))</f>
        <v>0</v>
      </c>
      <c r="T46" s="233" t="s">
        <v>195</v>
      </c>
      <c r="U46" s="235"/>
      <c r="V46" s="4028"/>
      <c r="W46" s="4028"/>
      <c r="X46" s="4028"/>
      <c r="Y46" s="4028"/>
      <c r="Z46" s="4028"/>
      <c r="AA46" s="4028"/>
      <c r="AB46" s="4028"/>
      <c r="AC46" s="4029"/>
      <c r="AD46" s="4027" t="str">
        <f>INDEX(PT_DIFFERENTIATION_NTAR,MATCH(A46,PT_DIFFERENTIATION_NTAR_ID,0))</f>
        <v/>
      </c>
      <c r="AE46" s="4028"/>
      <c r="AF46" s="4028"/>
      <c r="AG46" s="4028"/>
      <c r="AH46" s="4028"/>
      <c r="AI46" s="4028"/>
      <c r="AJ46" s="4028"/>
      <c r="AK46" s="4028"/>
      <c r="AL46" s="4028"/>
      <c r="AM46" s="4028"/>
      <c r="AN46" s="4028"/>
      <c r="AO46" s="4028"/>
      <c r="AP46" s="4028"/>
      <c r="AQ46" s="4028"/>
      <c r="AR46" s="4028"/>
      <c r="AS46" s="4028"/>
      <c r="AT46" s="4028"/>
      <c r="AU46" s="4028"/>
      <c r="AV46" s="4028"/>
      <c r="AW46" s="4028"/>
      <c r="AX46" s="4028"/>
      <c r="AY46" s="4028"/>
      <c r="AZ46" s="4028"/>
      <c r="BA46" s="4028"/>
      <c r="BB46" s="4029"/>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9">
        <v>21</v>
      </c>
    </row>
    <row r="47" spans="1:61" ht="21.95" customHeight="1">
      <c r="A47" s="1287" t="s">
        <v>484</v>
      </c>
      <c r="B47" s="1287" t="s">
        <v>485</v>
      </c>
      <c r="C47" s="1287"/>
      <c r="D47" s="1287"/>
      <c r="E47" s="4034"/>
      <c r="F47" s="4033">
        <v>1</v>
      </c>
      <c r="G47" s="1287"/>
      <c r="H47" s="1287"/>
      <c r="I47" s="1287"/>
      <c r="J47" s="1287"/>
      <c r="K47" s="1287"/>
      <c r="L47" s="1288"/>
      <c r="M47" s="1289"/>
      <c r="N47" s="1289"/>
      <c r="O47" s="1289"/>
      <c r="P47" s="1334"/>
      <c r="Q47" s="1335"/>
      <c r="R47" s="287"/>
      <c r="S47" s="1417" t="str">
        <f>INDEX(PT_DIFFERENTIATION_NUM_TER,MATCH(B47,PT_DIFFERENTIATION_TER_ID,0))</f>
        <v>.</v>
      </c>
      <c r="T47" s="243" t="s">
        <v>605</v>
      </c>
      <c r="U47" s="235"/>
      <c r="V47" s="4028"/>
      <c r="W47" s="4028"/>
      <c r="X47" s="4028"/>
      <c r="Y47" s="4028"/>
      <c r="Z47" s="4028"/>
      <c r="AA47" s="4028"/>
      <c r="AB47" s="4028"/>
      <c r="AC47" s="4029"/>
      <c r="AD47" s="4027" t="str">
        <f>INDEX(PT_DIFFERENTIATION_TER,MATCH(B47,PT_DIFFERENTIATION_TER_ID,0))</f>
        <v/>
      </c>
      <c r="AE47" s="4028"/>
      <c r="AF47" s="4028"/>
      <c r="AG47" s="4028"/>
      <c r="AH47" s="4028"/>
      <c r="AI47" s="4028"/>
      <c r="AJ47" s="4028"/>
      <c r="AK47" s="4028"/>
      <c r="AL47" s="4028"/>
      <c r="AM47" s="4028"/>
      <c r="AN47" s="4028"/>
      <c r="AO47" s="4028"/>
      <c r="AP47" s="4028"/>
      <c r="AQ47" s="4028"/>
      <c r="AR47" s="4028"/>
      <c r="AS47" s="4028"/>
      <c r="AT47" s="4028"/>
      <c r="AU47" s="4028"/>
      <c r="AV47" s="4028"/>
      <c r="AW47" s="4028"/>
      <c r="AX47" s="4028"/>
      <c r="AY47" s="4028"/>
      <c r="AZ47" s="4028"/>
      <c r="BA47" s="4028"/>
      <c r="BB47" s="4029"/>
      <c r="BC47" s="1182" t="s">
        <v>606</v>
      </c>
      <c r="BE47" s="434"/>
      <c r="BF47" s="434" t="str">
        <f t="shared" si="3"/>
        <v>Территория действия тарифа</v>
      </c>
      <c r="BG47" s="434"/>
      <c r="BH47" s="434"/>
      <c r="BI47" s="1079">
        <v>21</v>
      </c>
    </row>
    <row r="48" spans="1:61" ht="35.65" customHeight="1">
      <c r="A48" s="1287" t="s">
        <v>484</v>
      </c>
      <c r="B48" s="1287" t="s">
        <v>485</v>
      </c>
      <c r="C48" s="1287" t="s">
        <v>486</v>
      </c>
      <c r="D48" s="1287"/>
      <c r="E48" s="4034"/>
      <c r="F48" s="4034"/>
      <c r="G48" s="4033">
        <v>1</v>
      </c>
      <c r="H48" s="1287"/>
      <c r="I48" s="1287"/>
      <c r="J48" s="1287"/>
      <c r="K48" s="1287"/>
      <c r="L48" s="1288"/>
      <c r="M48" s="1289"/>
      <c r="N48" s="1289"/>
      <c r="O48" s="1289"/>
      <c r="P48" s="1336"/>
      <c r="Q48" s="1335"/>
      <c r="R48" s="287"/>
      <c r="S48" s="1417" t="str">
        <f>INDEX(PT_DIFFERENTIATION_NUM_CS,MATCH(C48,PT_DIFFERENTIATION_CS_ID,0))</f>
        <v>..</v>
      </c>
      <c r="T48" s="244" t="s">
        <v>725</v>
      </c>
      <c r="U48" s="235"/>
      <c r="V48" s="4028"/>
      <c r="W48" s="4028"/>
      <c r="X48" s="4028"/>
      <c r="Y48" s="4028"/>
      <c r="Z48" s="4028"/>
      <c r="AA48" s="4028"/>
      <c r="AB48" s="4028"/>
      <c r="AC48" s="4029"/>
      <c r="AD48" s="4027" t="str">
        <f>INDEX(PT_DIFFERENTIATION_CS,MATCH(C48,PT_DIFFERENTIATION_CS_ID,0))</f>
        <v/>
      </c>
      <c r="AE48" s="4028"/>
      <c r="AF48" s="4028"/>
      <c r="AG48" s="4028"/>
      <c r="AH48" s="4028"/>
      <c r="AI48" s="4028"/>
      <c r="AJ48" s="4028"/>
      <c r="AK48" s="4028"/>
      <c r="AL48" s="4028"/>
      <c r="AM48" s="4028"/>
      <c r="AN48" s="4028"/>
      <c r="AO48" s="4028"/>
      <c r="AP48" s="4028"/>
      <c r="AQ48" s="4028"/>
      <c r="AR48" s="4028"/>
      <c r="AS48" s="4028"/>
      <c r="AT48" s="4028"/>
      <c r="AU48" s="4028"/>
      <c r="AV48" s="4028"/>
      <c r="AW48" s="4028"/>
      <c r="AX48" s="4028"/>
      <c r="AY48" s="4028"/>
      <c r="AZ48" s="4028"/>
      <c r="BA48" s="4028"/>
      <c r="BB48" s="4029"/>
      <c r="BC48" s="1182" t="s">
        <v>726</v>
      </c>
      <c r="BE48" s="434"/>
      <c r="BF48" s="434" t="str">
        <f t="shared" si="3"/>
        <v>Наименование централизованной системы водоотведения</v>
      </c>
      <c r="BG48" s="434"/>
      <c r="BH48" s="434"/>
      <c r="BI48" s="1079">
        <v>34</v>
      </c>
    </row>
    <row r="49" spans="1:61" s="1566" customFormat="1" ht="0" hidden="1" customHeight="1">
      <c r="A49" s="1267" t="s">
        <v>484</v>
      </c>
      <c r="B49" s="1267" t="s">
        <v>485</v>
      </c>
      <c r="C49" s="1267" t="s">
        <v>486</v>
      </c>
      <c r="D49" s="1267" t="s">
        <v>738</v>
      </c>
      <c r="E49" s="4034"/>
      <c r="F49" s="4034"/>
      <c r="G49" s="4034"/>
      <c r="H49" s="4033">
        <v>1</v>
      </c>
      <c r="I49" s="1267"/>
      <c r="J49" s="1267"/>
      <c r="K49" s="1267"/>
      <c r="L49" s="1270"/>
      <c r="M49" s="1239"/>
      <c r="N49" s="1239"/>
      <c r="O49" s="1239"/>
      <c r="P49" s="1421"/>
      <c r="Q49" s="1422"/>
      <c r="R49" s="291"/>
      <c r="S49" s="969"/>
      <c r="T49" s="1423"/>
      <c r="U49" s="1308"/>
      <c r="V49" s="4065"/>
      <c r="W49" s="4065"/>
      <c r="X49" s="4065"/>
      <c r="Y49" s="4065"/>
      <c r="Z49" s="4065"/>
      <c r="AA49" s="4065"/>
      <c r="AB49" s="4065"/>
      <c r="AC49" s="4066"/>
      <c r="AD49" s="4064"/>
      <c r="AE49" s="4065"/>
      <c r="AF49" s="4065"/>
      <c r="AG49" s="4065"/>
      <c r="AH49" s="4065"/>
      <c r="AI49" s="4065"/>
      <c r="AJ49" s="4065"/>
      <c r="AK49" s="4065"/>
      <c r="AL49" s="4065"/>
      <c r="AM49" s="4065"/>
      <c r="AN49" s="4065"/>
      <c r="AO49" s="4065"/>
      <c r="AP49" s="4065"/>
      <c r="AQ49" s="4065"/>
      <c r="AR49" s="4065"/>
      <c r="AS49" s="4065"/>
      <c r="AT49" s="4065"/>
      <c r="AU49" s="4065"/>
      <c r="AV49" s="4065"/>
      <c r="AW49" s="4065"/>
      <c r="AX49" s="4065"/>
      <c r="AY49" s="4065"/>
      <c r="AZ49" s="4065"/>
      <c r="BA49" s="4065"/>
      <c r="BB49" s="4066"/>
      <c r="BC49" s="1309" t="s">
        <v>610</v>
      </c>
      <c r="BE49" s="434"/>
      <c r="BF49" s="434" t="str">
        <f t="shared" si="3"/>
        <v/>
      </c>
      <c r="BG49" s="434"/>
      <c r="BH49" s="434"/>
      <c r="BI49" s="445">
        <v>0</v>
      </c>
    </row>
    <row r="50" spans="1:61" s="1566" customFormat="1" ht="0" hidden="1" customHeight="1">
      <c r="A50" s="1267" t="s">
        <v>484</v>
      </c>
      <c r="B50" s="1267" t="s">
        <v>485</v>
      </c>
      <c r="C50" s="1267" t="s">
        <v>486</v>
      </c>
      <c r="D50" s="1267" t="s">
        <v>738</v>
      </c>
      <c r="E50" s="4034"/>
      <c r="F50" s="4034"/>
      <c r="G50" s="4034"/>
      <c r="H50" s="4034"/>
      <c r="I50" s="4035" t="str">
        <f>S49&amp;".1"</f>
        <v>.1</v>
      </c>
      <c r="J50" s="1267"/>
      <c r="K50" s="1267"/>
      <c r="L50" s="1270" t="s">
        <v>611</v>
      </c>
      <c r="M50" s="444"/>
      <c r="N50" s="444"/>
      <c r="O50" s="444"/>
      <c r="P50" s="4037">
        <v>1</v>
      </c>
      <c r="Q50" s="1405"/>
      <c r="R50" s="290"/>
      <c r="S50" s="969"/>
      <c r="T50" s="1307"/>
      <c r="U50" s="1308"/>
      <c r="V50" s="4065"/>
      <c r="W50" s="4065"/>
      <c r="X50" s="4065"/>
      <c r="Y50" s="4065"/>
      <c r="Z50" s="4065"/>
      <c r="AA50" s="4065"/>
      <c r="AB50" s="4065"/>
      <c r="AC50" s="4066"/>
      <c r="AD50" s="4064"/>
      <c r="AE50" s="4065"/>
      <c r="AF50" s="4065"/>
      <c r="AG50" s="4065"/>
      <c r="AH50" s="4065"/>
      <c r="AI50" s="4065"/>
      <c r="AJ50" s="4065"/>
      <c r="AK50" s="4065"/>
      <c r="AL50" s="4065"/>
      <c r="AM50" s="4065"/>
      <c r="AN50" s="4065"/>
      <c r="AO50" s="4065"/>
      <c r="AP50" s="4065"/>
      <c r="AQ50" s="4065"/>
      <c r="AR50" s="4065"/>
      <c r="AS50" s="4065"/>
      <c r="AT50" s="4065"/>
      <c r="AU50" s="4065"/>
      <c r="AV50" s="4065"/>
      <c r="AW50" s="4065"/>
      <c r="AX50" s="4065"/>
      <c r="AY50" s="4065"/>
      <c r="AZ50" s="4065"/>
      <c r="BA50" s="4065"/>
      <c r="BB50" s="4066"/>
      <c r="BC50" s="1309"/>
      <c r="BE50" s="434"/>
      <c r="BF50" s="434" t="str">
        <f t="shared" si="3"/>
        <v/>
      </c>
      <c r="BG50" s="434"/>
      <c r="BH50" s="434"/>
      <c r="BI50" s="445">
        <v>0</v>
      </c>
    </row>
    <row r="51" spans="1:61" s="1566" customFormat="1" ht="0" hidden="1" customHeight="1">
      <c r="A51" s="1267" t="s">
        <v>484</v>
      </c>
      <c r="B51" s="1267" t="s">
        <v>485</v>
      </c>
      <c r="C51" s="1267" t="s">
        <v>486</v>
      </c>
      <c r="D51" s="1267" t="s">
        <v>738</v>
      </c>
      <c r="E51" s="4034"/>
      <c r="F51" s="4034"/>
      <c r="G51" s="4034"/>
      <c r="H51" s="4034"/>
      <c r="I51" s="4036"/>
      <c r="J51" s="4035" t="str">
        <f>S49&amp;".1"</f>
        <v>.1</v>
      </c>
      <c r="K51" s="1267"/>
      <c r="L51" s="1270"/>
      <c r="M51" s="444"/>
      <c r="N51" s="444"/>
      <c r="O51" s="444"/>
      <c r="P51" s="4037"/>
      <c r="Q51" s="4037">
        <v>1</v>
      </c>
      <c r="R51" s="291"/>
      <c r="S51" s="969"/>
      <c r="T51" s="1323"/>
      <c r="U51" s="1308"/>
      <c r="V51" s="4065"/>
      <c r="W51" s="4065"/>
      <c r="X51" s="4065"/>
      <c r="Y51" s="4065"/>
      <c r="Z51" s="4065"/>
      <c r="AA51" s="4065"/>
      <c r="AB51" s="4065"/>
      <c r="AC51" s="4066"/>
      <c r="AD51" s="4064"/>
      <c r="AE51" s="4065"/>
      <c r="AF51" s="4065"/>
      <c r="AG51" s="4065"/>
      <c r="AH51" s="4065"/>
      <c r="AI51" s="4065"/>
      <c r="AJ51" s="4065"/>
      <c r="AK51" s="4065"/>
      <c r="AL51" s="4065"/>
      <c r="AM51" s="4065"/>
      <c r="AN51" s="4116"/>
      <c r="AO51" s="4116"/>
      <c r="AP51" s="4065"/>
      <c r="AQ51" s="4065"/>
      <c r="AR51" s="4065"/>
      <c r="AS51" s="4065"/>
      <c r="AT51" s="4065"/>
      <c r="AU51" s="4065"/>
      <c r="AV51" s="4065"/>
      <c r="AW51" s="4065"/>
      <c r="AX51" s="4065"/>
      <c r="AY51" s="4065"/>
      <c r="AZ51" s="4065"/>
      <c r="BA51" s="4065"/>
      <c r="BB51" s="4066"/>
      <c r="BC51" s="1309"/>
      <c r="BE51" s="434"/>
      <c r="BF51" s="434" t="str">
        <f t="shared" si="3"/>
        <v/>
      </c>
      <c r="BG51" s="434"/>
      <c r="BH51" s="434"/>
      <c r="BI51" s="445">
        <v>0</v>
      </c>
    </row>
    <row r="52" spans="1:61" ht="11.45" customHeight="1">
      <c r="A52" s="1287" t="s">
        <v>484</v>
      </c>
      <c r="B52" s="1287" t="s">
        <v>485</v>
      </c>
      <c r="C52" s="1287" t="s">
        <v>486</v>
      </c>
      <c r="D52" s="1287" t="s">
        <v>738</v>
      </c>
      <c r="E52" s="4034"/>
      <c r="F52" s="4034"/>
      <c r="G52" s="4034"/>
      <c r="H52" s="4034"/>
      <c r="I52" s="4036"/>
      <c r="J52" s="4036"/>
      <c r="K52" s="4035" t="str">
        <f>S48&amp;".1"</f>
        <v>...1</v>
      </c>
      <c r="L52" s="1288"/>
      <c r="P52" s="4037"/>
      <c r="Q52" s="4037"/>
      <c r="R52" s="291">
        <v>1</v>
      </c>
      <c r="S52" s="4090" t="str">
        <f>$K52</f>
        <v>...1</v>
      </c>
      <c r="T52" s="4110"/>
      <c r="U52" s="235"/>
      <c r="V52" s="685"/>
      <c r="W52" s="1181"/>
      <c r="X52" s="685"/>
      <c r="Y52" s="1181"/>
      <c r="Z52" s="1630"/>
      <c r="AA52" s="1393" t="s">
        <v>53</v>
      </c>
      <c r="AB52" s="1630"/>
      <c r="AC52" s="1393" t="s">
        <v>53</v>
      </c>
      <c r="AD52" s="3952" t="s">
        <v>53</v>
      </c>
      <c r="AE52" s="4086"/>
      <c r="AF52" s="3991">
        <v>1</v>
      </c>
      <c r="AG52" s="4109"/>
      <c r="AH52" s="3899" t="s">
        <v>53</v>
      </c>
      <c r="AI52" s="4086"/>
      <c r="AJ52" s="3991">
        <v>1</v>
      </c>
      <c r="AK52" s="4100" t="s">
        <v>15</v>
      </c>
      <c r="AL52" s="3899" t="s">
        <v>53</v>
      </c>
      <c r="AM52" s="3968"/>
      <c r="AN52" s="3991">
        <v>1</v>
      </c>
      <c r="AO52" s="4113"/>
      <c r="AP52" s="4114" t="s">
        <v>53</v>
      </c>
      <c r="AQ52" s="246"/>
      <c r="AR52" s="1410">
        <v>1</v>
      </c>
      <c r="AS52" s="1416" t="s">
        <v>15</v>
      </c>
      <c r="AT52" s="685"/>
      <c r="AU52" s="1181"/>
      <c r="AV52" s="685"/>
      <c r="AW52" s="1181"/>
      <c r="AX52" s="1630"/>
      <c r="AY52" s="1393" t="s">
        <v>53</v>
      </c>
      <c r="AZ52" s="1630"/>
      <c r="BA52" s="1393" t="s">
        <v>53</v>
      </c>
      <c r="BB52" s="1272"/>
      <c r="BC52" s="4056" t="s">
        <v>710</v>
      </c>
      <c r="BE52" s="434"/>
      <c r="BF52" s="434" t="str">
        <f t="shared" si="3"/>
        <v/>
      </c>
      <c r="BG52" s="434"/>
      <c r="BH52" s="434"/>
      <c r="BI52" s="1079">
        <v>11</v>
      </c>
    </row>
    <row r="53" spans="1:61" ht="11.45" customHeight="1">
      <c r="A53" s="1287"/>
      <c r="B53" s="1287"/>
      <c r="C53" s="1287"/>
      <c r="D53" s="1287"/>
      <c r="E53" s="4034"/>
      <c r="F53" s="4034"/>
      <c r="G53" s="4034"/>
      <c r="H53" s="4034"/>
      <c r="I53" s="4036"/>
      <c r="J53" s="4036"/>
      <c r="K53" s="4035"/>
      <c r="L53" s="1288"/>
      <c r="P53" s="4037"/>
      <c r="Q53" s="4037"/>
      <c r="R53" s="291"/>
      <c r="S53" s="4091"/>
      <c r="T53" s="4111"/>
      <c r="U53" s="235"/>
      <c r="V53" s="1317"/>
      <c r="W53" s="1420"/>
      <c r="X53" s="1317"/>
      <c r="Y53" s="1420"/>
      <c r="Z53" s="1317"/>
      <c r="AA53" s="1317"/>
      <c r="AB53" s="1317"/>
      <c r="AC53" s="1317"/>
      <c r="AD53" s="3953"/>
      <c r="AE53" s="4086"/>
      <c r="AF53" s="3991"/>
      <c r="AG53" s="4109"/>
      <c r="AH53" s="3899"/>
      <c r="AI53" s="4086"/>
      <c r="AJ53" s="3991"/>
      <c r="AK53" s="4100"/>
      <c r="AL53" s="3899"/>
      <c r="AM53" s="3973"/>
      <c r="AN53" s="3991"/>
      <c r="AO53" s="4113"/>
      <c r="AP53" s="4115"/>
      <c r="AQ53" s="251"/>
      <c r="AR53" s="350"/>
      <c r="AS53" s="350" t="s">
        <v>711</v>
      </c>
      <c r="AT53" s="1317"/>
      <c r="AU53" s="1420"/>
      <c r="AV53" s="1317"/>
      <c r="AW53" s="1420"/>
      <c r="AX53" s="1317"/>
      <c r="AY53" s="1317"/>
      <c r="AZ53" s="1317"/>
      <c r="BA53" s="1317"/>
      <c r="BB53" s="1321"/>
      <c r="BC53" s="4057"/>
      <c r="BE53" s="434"/>
      <c r="BF53" s="434"/>
      <c r="BG53" s="434"/>
      <c r="BH53" s="434"/>
      <c r="BI53" s="1079">
        <v>11</v>
      </c>
    </row>
    <row r="54" spans="1:61" ht="11.45" customHeight="1">
      <c r="A54" s="1287" t="s">
        <v>484</v>
      </c>
      <c r="B54" s="1287"/>
      <c r="C54" s="1287"/>
      <c r="D54" s="1287"/>
      <c r="E54" s="4034"/>
      <c r="F54" s="4034"/>
      <c r="G54" s="4034"/>
      <c r="H54" s="4034"/>
      <c r="I54" s="4036"/>
      <c r="J54" s="4036"/>
      <c r="K54" s="4035"/>
      <c r="L54" s="1288"/>
      <c r="P54" s="4037"/>
      <c r="Q54" s="4037"/>
      <c r="R54" s="291"/>
      <c r="S54" s="4091"/>
      <c r="T54" s="4111"/>
      <c r="U54" s="235"/>
      <c r="V54" s="1317"/>
      <c r="W54" s="1420"/>
      <c r="X54" s="1317"/>
      <c r="Y54" s="1420"/>
      <c r="Z54" s="1317"/>
      <c r="AA54" s="1317"/>
      <c r="AB54" s="1317"/>
      <c r="AC54" s="1317"/>
      <c r="AD54" s="3953"/>
      <c r="AE54" s="4086"/>
      <c r="AF54" s="3991"/>
      <c r="AG54" s="4109"/>
      <c r="AH54" s="3899"/>
      <c r="AI54" s="4086"/>
      <c r="AJ54" s="3991"/>
      <c r="AK54" s="4100"/>
      <c r="AL54" s="3899"/>
      <c r="AM54" s="251"/>
      <c r="AN54" s="1424"/>
      <c r="AO54" s="1424" t="s">
        <v>731</v>
      </c>
      <c r="AP54" s="350"/>
      <c r="AQ54" s="350"/>
      <c r="AR54" s="350"/>
      <c r="AS54" s="1317"/>
      <c r="AT54" s="1317"/>
      <c r="AU54" s="1420"/>
      <c r="AV54" s="1317"/>
      <c r="AW54" s="1420"/>
      <c r="AX54" s="1317"/>
      <c r="AY54" s="1317"/>
      <c r="AZ54" s="1317"/>
      <c r="BA54" s="1317"/>
      <c r="BB54" s="1321"/>
      <c r="BC54" s="4057"/>
      <c r="BE54" s="434"/>
      <c r="BF54" s="434"/>
      <c r="BG54" s="434"/>
      <c r="BH54" s="434"/>
      <c r="BI54" s="1079">
        <v>11</v>
      </c>
    </row>
    <row r="55" spans="1:61" ht="11.45" customHeight="1">
      <c r="A55" s="1287" t="s">
        <v>484</v>
      </c>
      <c r="B55" s="1287"/>
      <c r="C55" s="1287"/>
      <c r="D55" s="1287"/>
      <c r="E55" s="4034"/>
      <c r="F55" s="4034"/>
      <c r="G55" s="4034"/>
      <c r="H55" s="4034"/>
      <c r="I55" s="4036"/>
      <c r="J55" s="4036"/>
      <c r="K55" s="4035"/>
      <c r="L55" s="1288"/>
      <c r="P55" s="4037"/>
      <c r="Q55" s="4037"/>
      <c r="R55" s="291"/>
      <c r="S55" s="4091"/>
      <c r="T55" s="4111"/>
      <c r="U55" s="235"/>
      <c r="V55" s="1317"/>
      <c r="W55" s="1420"/>
      <c r="X55" s="1317"/>
      <c r="Y55" s="1420"/>
      <c r="Z55" s="1317"/>
      <c r="AA55" s="1317"/>
      <c r="AB55" s="1317"/>
      <c r="AC55" s="1317"/>
      <c r="AD55" s="3953"/>
      <c r="AE55" s="4086"/>
      <c r="AF55" s="3991"/>
      <c r="AG55" s="4109"/>
      <c r="AH55" s="3899"/>
      <c r="AI55" s="229"/>
      <c r="AJ55" s="349"/>
      <c r="AK55" s="248" t="s">
        <v>732</v>
      </c>
      <c r="AL55" s="1317"/>
      <c r="AM55" s="1317"/>
      <c r="AN55" s="1317"/>
      <c r="AO55" s="1317"/>
      <c r="AP55" s="1317"/>
      <c r="AQ55" s="1317"/>
      <c r="AR55" s="1317"/>
      <c r="AS55" s="1317"/>
      <c r="AT55" s="1317"/>
      <c r="AU55" s="1420"/>
      <c r="AV55" s="1317"/>
      <c r="AW55" s="1420"/>
      <c r="AX55" s="1317"/>
      <c r="AY55" s="1317"/>
      <c r="AZ55" s="1317"/>
      <c r="BA55" s="1317"/>
      <c r="BB55" s="1321"/>
      <c r="BC55" s="4057"/>
      <c r="BE55" s="434"/>
      <c r="BF55" s="434"/>
      <c r="BG55" s="434"/>
      <c r="BH55" s="434"/>
      <c r="BI55" s="1079">
        <v>11</v>
      </c>
    </row>
    <row r="56" spans="1:61" ht="11.45" customHeight="1">
      <c r="A56" s="1287" t="s">
        <v>484</v>
      </c>
      <c r="B56" s="1287" t="s">
        <v>485</v>
      </c>
      <c r="C56" s="1287" t="s">
        <v>486</v>
      </c>
      <c r="D56" s="1287" t="s">
        <v>738</v>
      </c>
      <c r="E56" s="4034"/>
      <c r="F56" s="4034"/>
      <c r="G56" s="4034"/>
      <c r="H56" s="4034"/>
      <c r="I56" s="4036"/>
      <c r="J56" s="4036"/>
      <c r="K56" s="4035"/>
      <c r="L56" s="1288"/>
      <c r="P56" s="4037"/>
      <c r="Q56" s="4037"/>
      <c r="R56" s="291"/>
      <c r="S56" s="4092"/>
      <c r="T56" s="4112"/>
      <c r="U56" s="235"/>
      <c r="V56" s="1317"/>
      <c r="W56" s="1318" t="str">
        <f>Z52&amp;"-"&amp;AB52</f>
        <v>-</v>
      </c>
      <c r="X56" s="1317"/>
      <c r="Y56" s="1318" t="str">
        <f>AB52&amp;"-"&amp;AD52</f>
        <v>-да</v>
      </c>
      <c r="Z56" s="1317"/>
      <c r="AA56" s="1317"/>
      <c r="AB56" s="1317"/>
      <c r="AC56" s="1317"/>
      <c r="AD56" s="3904"/>
      <c r="AE56" s="247"/>
      <c r="AF56" s="249"/>
      <c r="AG56" s="350" t="s">
        <v>714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4057"/>
      <c r="BE56" s="434"/>
      <c r="BF56" s="434" t="str">
        <f t="shared" ref="BF56:BF63" si="4">IF(T56="","",T56)</f>
        <v/>
      </c>
      <c r="BG56" s="434"/>
      <c r="BH56" s="434"/>
      <c r="BI56" s="1079">
        <v>11</v>
      </c>
    </row>
    <row r="57" spans="1:61" ht="11.45" customHeight="1">
      <c r="A57" s="1287" t="s">
        <v>484</v>
      </c>
      <c r="B57" s="1287" t="s">
        <v>485</v>
      </c>
      <c r="C57" s="1287" t="s">
        <v>486</v>
      </c>
      <c r="D57" s="1287" t="s">
        <v>738</v>
      </c>
      <c r="E57" s="4034"/>
      <c r="F57" s="4034"/>
      <c r="G57" s="4034"/>
      <c r="H57" s="4034"/>
      <c r="I57" s="4036"/>
      <c r="J57" s="4035"/>
      <c r="K57" s="1287"/>
      <c r="L57" s="1288"/>
      <c r="P57" s="4037"/>
      <c r="Q57" s="4037"/>
      <c r="R57" s="290"/>
      <c r="S57" s="1202"/>
      <c r="T57" s="222" t="s">
        <v>677</v>
      </c>
      <c r="U57" s="301"/>
      <c r="V57" s="301"/>
      <c r="W57" s="301"/>
      <c r="X57" s="301"/>
      <c r="Y57" s="301"/>
      <c r="Z57" s="301"/>
      <c r="AA57" s="301"/>
      <c r="AB57" s="301"/>
      <c r="AC57" s="259"/>
      <c r="AD57" s="1429"/>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4058"/>
      <c r="BE57" s="434"/>
      <c r="BF57" s="434" t="str">
        <f t="shared" si="4"/>
        <v>Добавить строку</v>
      </c>
      <c r="BG57" s="434"/>
      <c r="BH57" s="434"/>
      <c r="BI57" s="1079">
        <v>11</v>
      </c>
    </row>
    <row r="58" spans="1:61" s="1566" customFormat="1" ht="0" hidden="1" customHeight="1">
      <c r="A58" s="1267" t="s">
        <v>484</v>
      </c>
      <c r="B58" s="1267" t="s">
        <v>485</v>
      </c>
      <c r="C58" s="1267" t="s">
        <v>486</v>
      </c>
      <c r="D58" s="1267" t="s">
        <v>738</v>
      </c>
      <c r="E58" s="4034"/>
      <c r="F58" s="4034"/>
      <c r="G58" s="4034"/>
      <c r="H58" s="4034"/>
      <c r="I58" s="4035"/>
      <c r="J58" s="1267"/>
      <c r="K58" s="1267"/>
      <c r="L58" s="1270"/>
      <c r="M58" s="444"/>
      <c r="N58" s="444"/>
      <c r="O58" s="444"/>
      <c r="P58" s="4037"/>
      <c r="Q58" s="1405"/>
      <c r="R58" s="290"/>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4"/>
      <c r="BF58" s="434" t="str">
        <f t="shared" si="4"/>
        <v/>
      </c>
      <c r="BG58" s="434"/>
      <c r="BH58" s="434"/>
      <c r="BI58" s="445">
        <v>0</v>
      </c>
    </row>
    <row r="59" spans="1:61" s="1566" customFormat="1" ht="0" hidden="1" customHeight="1">
      <c r="A59" s="1267" t="s">
        <v>484</v>
      </c>
      <c r="B59" s="1267" t="s">
        <v>485</v>
      </c>
      <c r="C59" s="1267" t="s">
        <v>486</v>
      </c>
      <c r="D59" s="1267" t="s">
        <v>738</v>
      </c>
      <c r="E59" s="4034"/>
      <c r="F59" s="4034"/>
      <c r="G59" s="4034"/>
      <c r="H59" s="4033"/>
      <c r="I59" s="1267"/>
      <c r="J59" s="1267"/>
      <c r="K59" s="1267"/>
      <c r="L59" s="1270"/>
      <c r="M59" s="1239"/>
      <c r="N59" s="1239"/>
      <c r="O59" s="452"/>
      <c r="P59" s="314"/>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4"/>
      <c r="BF59" s="434" t="str">
        <f t="shared" si="4"/>
        <v/>
      </c>
      <c r="BG59" s="434"/>
      <c r="BH59" s="434"/>
      <c r="BI59" s="445">
        <v>0</v>
      </c>
    </row>
    <row r="60" spans="1:61" s="1566" customFormat="1" ht="0" hidden="1" customHeight="1">
      <c r="A60" s="1267" t="s">
        <v>484</v>
      </c>
      <c r="B60" s="1267" t="s">
        <v>485</v>
      </c>
      <c r="C60" s="1267" t="s">
        <v>486</v>
      </c>
      <c r="D60" s="1238"/>
      <c r="E60" s="4034"/>
      <c r="F60" s="4034"/>
      <c r="G60" s="4033"/>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7"/>
      <c r="BF60" s="717" t="str">
        <f t="shared" si="4"/>
        <v/>
      </c>
      <c r="BG60" s="717"/>
      <c r="BH60" s="717"/>
      <c r="BI60" s="452">
        <v>0</v>
      </c>
    </row>
    <row r="61" spans="1:61" s="1566" customFormat="1" ht="0" hidden="1" customHeight="1">
      <c r="A61" s="1267" t="s">
        <v>484</v>
      </c>
      <c r="B61" s="1267" t="s">
        <v>485</v>
      </c>
      <c r="C61" s="1238"/>
      <c r="D61" s="1238"/>
      <c r="E61" s="4034"/>
      <c r="F61" s="4033"/>
      <c r="G61" s="1238"/>
      <c r="H61" s="1238"/>
      <c r="I61" s="1238"/>
      <c r="J61" s="1238"/>
      <c r="K61" s="1238"/>
      <c r="L61" s="1418"/>
      <c r="M61" s="1245"/>
      <c r="N61" s="1245"/>
      <c r="P61" s="1240"/>
      <c r="Q61" s="1241"/>
      <c r="R61" s="1240"/>
      <c r="S61" s="1246"/>
      <c r="T61" s="1249" t="s">
        <v>236</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7"/>
      <c r="BF61" s="717" t="str">
        <f t="shared" si="4"/>
        <v>Добавить централизованную систему для дифференциации</v>
      </c>
      <c r="BG61" s="717"/>
      <c r="BH61" s="717"/>
      <c r="BI61" s="452">
        <v>0</v>
      </c>
    </row>
    <row r="62" spans="1:61" s="1566" customFormat="1" ht="0" hidden="1" customHeight="1">
      <c r="A62" s="1267" t="s">
        <v>484</v>
      </c>
      <c r="B62" s="1267"/>
      <c r="C62" s="1267"/>
      <c r="D62" s="1267"/>
      <c r="E62" s="4033"/>
      <c r="F62" s="1267"/>
      <c r="G62" s="1267"/>
      <c r="H62" s="1267"/>
      <c r="I62" s="1267"/>
      <c r="J62" s="1267"/>
      <c r="K62" s="1267"/>
      <c r="L62" s="1270"/>
      <c r="M62" s="1245"/>
      <c r="N62" s="1245"/>
      <c r="O62" s="452"/>
      <c r="P62" s="314"/>
      <c r="Q62" s="1268"/>
      <c r="R62" s="314"/>
      <c r="S62" s="1246"/>
      <c r="T62" s="1249" t="s">
        <v>286</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4"/>
      <c r="BF62" s="434" t="str">
        <f t="shared" si="4"/>
        <v>Добавить территорию для дифференциации</v>
      </c>
      <c r="BG62" s="434"/>
      <c r="BH62" s="434"/>
      <c r="BI62" s="445">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287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7"/>
      <c r="BF63" s="717" t="str">
        <f t="shared" si="4"/>
        <v>Добавить наименование тарифа</v>
      </c>
      <c r="BG63" s="717"/>
      <c r="BH63" s="717"/>
      <c r="BI63" s="452">
        <v>0</v>
      </c>
    </row>
    <row r="64" spans="1:61" ht="11.45" customHeight="1">
      <c r="M64" s="1084"/>
      <c r="N64" s="1084"/>
      <c r="O64" s="471"/>
      <c r="P64" s="1084"/>
      <c r="Q64" s="1084"/>
      <c r="R64" s="1079"/>
      <c r="S64" s="1079"/>
      <c r="BD64" s="1079"/>
      <c r="BE64" s="1079"/>
      <c r="BF64" s="1079"/>
      <c r="BG64" s="1079"/>
      <c r="BH64" s="1079"/>
      <c r="BI64" s="1079">
        <v>11</v>
      </c>
    </row>
    <row r="65" spans="1:61" ht="14.65" customHeight="1">
      <c r="O65" s="471"/>
      <c r="S65" s="1177"/>
      <c r="T65" s="4032"/>
      <c r="U65" s="4032"/>
      <c r="V65" s="4032"/>
      <c r="W65" s="4032"/>
      <c r="X65" s="4032"/>
      <c r="Y65" s="4032"/>
      <c r="Z65" s="4032"/>
      <c r="AA65" s="4032"/>
      <c r="AB65" s="4032"/>
      <c r="AC65" s="4032"/>
      <c r="AD65" s="4032"/>
      <c r="AE65" s="4032"/>
      <c r="AF65" s="4032"/>
      <c r="AG65" s="4032"/>
      <c r="AH65" s="4032"/>
      <c r="AI65" s="4032"/>
      <c r="AJ65" s="4032"/>
      <c r="AK65" s="4032"/>
      <c r="AL65" s="4032"/>
      <c r="AM65" s="4032"/>
      <c r="AN65" s="4032"/>
      <c r="AO65" s="4032"/>
      <c r="AP65" s="4032"/>
      <c r="AQ65" s="4032"/>
      <c r="AR65" s="4032"/>
      <c r="AS65" s="4032"/>
      <c r="AT65" s="4032"/>
      <c r="AU65" s="4032"/>
      <c r="AV65" s="4032"/>
      <c r="AW65" s="4032"/>
      <c r="AX65" s="4032"/>
      <c r="AY65" s="4032"/>
      <c r="AZ65" s="4032"/>
      <c r="BA65" s="4032"/>
      <c r="BB65" s="4032"/>
      <c r="BC65" s="4032"/>
      <c r="BI65" s="1079">
        <v>14</v>
      </c>
    </row>
    <row r="66" spans="1:61" ht="14.65" customHeight="1">
      <c r="O66" s="471"/>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4.65" customHeight="1">
      <c r="O67" s="471"/>
      <c r="S67" s="1177"/>
      <c r="T67" s="4032"/>
      <c r="U67" s="4032"/>
      <c r="V67" s="4032"/>
      <c r="W67" s="4032"/>
      <c r="X67" s="4032"/>
      <c r="Y67" s="4032"/>
      <c r="Z67" s="4032"/>
      <c r="AA67" s="4032"/>
      <c r="AB67" s="4032"/>
      <c r="AC67" s="4032"/>
      <c r="AD67" s="4032"/>
      <c r="AE67" s="4032"/>
      <c r="AF67" s="4032"/>
      <c r="AG67" s="4032"/>
      <c r="AH67" s="4032"/>
      <c r="AI67" s="4032"/>
      <c r="AJ67" s="4032"/>
      <c r="AK67" s="4032"/>
      <c r="AL67" s="4032"/>
      <c r="AM67" s="4032"/>
      <c r="AN67" s="4032"/>
      <c r="AO67" s="4032"/>
      <c r="AP67" s="4032"/>
      <c r="AQ67" s="4032"/>
      <c r="AR67" s="4032"/>
      <c r="AS67" s="4032"/>
      <c r="AT67" s="4032"/>
      <c r="AU67" s="4032"/>
      <c r="AV67" s="4032"/>
      <c r="AW67" s="4032"/>
      <c r="AX67" s="4032"/>
      <c r="AY67" s="4032"/>
      <c r="AZ67" s="4032"/>
      <c r="BA67" s="4032"/>
      <c r="BB67" s="4032"/>
      <c r="BC67" s="4032"/>
      <c r="BI67" s="1079">
        <v>14</v>
      </c>
    </row>
    <row r="68" spans="1:61" ht="14.65" customHeight="1">
      <c r="O68" s="471"/>
      <c r="BI68" s="1079">
        <v>14</v>
      </c>
    </row>
    <row r="69" spans="1:61" ht="14.25" hidden="1" customHeight="1">
      <c r="A69" s="1084" t="s">
        <v>69</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79">
        <v>3</v>
      </c>
      <c r="S69" s="515">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5">
        <v>10</v>
      </c>
      <c r="BE69" s="445">
        <v>10</v>
      </c>
      <c r="BF69" s="445">
        <v>10</v>
      </c>
      <c r="BG69" s="445">
        <v>10</v>
      </c>
      <c r="BH69" s="445">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C1" s="262"/>
      <c r="AN1" s="262"/>
      <c r="AY1" s="1079" t="s">
        <v>1</v>
      </c>
    </row>
    <row r="2" spans="1:51" ht="23.25" hidden="1" customHeight="1">
      <c r="A2" s="1287"/>
      <c r="B2" s="1287"/>
      <c r="C2" s="1287"/>
      <c r="D2" s="1287"/>
      <c r="E2" s="4033">
        <v>1</v>
      </c>
      <c r="F2" s="1287"/>
      <c r="G2" s="1287"/>
      <c r="H2" s="1287"/>
      <c r="I2" s="1287"/>
      <c r="J2" s="1287"/>
      <c r="K2" s="1287"/>
      <c r="L2" s="1288"/>
      <c r="M2" s="1289"/>
      <c r="N2" s="1289"/>
      <c r="O2" s="1289"/>
      <c r="P2" s="295"/>
      <c r="Q2" s="294"/>
      <c r="R2" s="289"/>
      <c r="S2" s="1417" t="e">
        <f>INDEX(PT_DIFFERENTIATION_NUM_NTAR,MATCH(A2,PT_DIFFERENTIATION_NTAR_ID,0))</f>
        <v>#N/A</v>
      </c>
      <c r="T2" s="233" t="s">
        <v>195</v>
      </c>
      <c r="U2" s="235"/>
      <c r="V2" s="4027"/>
      <c r="W2" s="4028"/>
      <c r="X2" s="4028"/>
      <c r="Y2" s="4028"/>
      <c r="Z2" s="4028"/>
      <c r="AA2" s="4028"/>
      <c r="AB2" s="4028"/>
      <c r="AC2" s="4028"/>
      <c r="AD2" s="4028"/>
      <c r="AE2" s="4028"/>
      <c r="AF2" s="4029"/>
      <c r="AG2" s="4027" t="e">
        <f>INDEX(PT_DIFFERENTIATION_NTAR,MATCH(A2,PT_DIFFERENTIATION_NTAR_ID,0))</f>
        <v>#N/A</v>
      </c>
      <c r="AH2" s="4028"/>
      <c r="AI2" s="4028"/>
      <c r="AJ2" s="4028"/>
      <c r="AK2" s="4028"/>
      <c r="AL2" s="4028"/>
      <c r="AM2" s="4028"/>
      <c r="AN2" s="4028"/>
      <c r="AO2" s="4028"/>
      <c r="AP2" s="4028"/>
      <c r="AQ2" s="4028"/>
      <c r="AR2" s="4029"/>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9">
        <v>0</v>
      </c>
    </row>
    <row r="3" spans="1:51" ht="23.25" hidden="1" customHeight="1">
      <c r="A3" s="1287"/>
      <c r="B3" s="1287"/>
      <c r="C3" s="1287"/>
      <c r="D3" s="1287"/>
      <c r="E3" s="4034"/>
      <c r="F3" s="4033">
        <v>1</v>
      </c>
      <c r="G3" s="1287"/>
      <c r="H3" s="1287"/>
      <c r="I3" s="1287"/>
      <c r="J3" s="1287"/>
      <c r="K3" s="1287"/>
      <c r="L3" s="1288"/>
      <c r="M3" s="1289"/>
      <c r="N3" s="1289"/>
      <c r="O3" s="1289"/>
      <c r="P3" s="1411"/>
      <c r="Q3" s="286"/>
      <c r="R3" s="287"/>
      <c r="S3" s="1417" t="e">
        <f>INDEX(PT_DIFFERENTIATION_NUM_TER,MATCH(B3,PT_DIFFERENTIATION_TER_ID,0))</f>
        <v>#N/A</v>
      </c>
      <c r="T3" s="243" t="s">
        <v>605</v>
      </c>
      <c r="U3" s="235"/>
      <c r="V3" s="4027"/>
      <c r="W3" s="4028"/>
      <c r="X3" s="4028"/>
      <c r="Y3" s="4028"/>
      <c r="Z3" s="4028"/>
      <c r="AA3" s="4028"/>
      <c r="AB3" s="4028"/>
      <c r="AC3" s="4028"/>
      <c r="AD3" s="4028"/>
      <c r="AE3" s="4028"/>
      <c r="AF3" s="4029"/>
      <c r="AG3" s="4027" t="e">
        <f>INDEX(PT_DIFFERENTIATION_TER,MATCH(B3,PT_DIFFERENTIATION_TER_ID,0))</f>
        <v>#N/A</v>
      </c>
      <c r="AH3" s="4028"/>
      <c r="AI3" s="4028"/>
      <c r="AJ3" s="4028"/>
      <c r="AK3" s="4028"/>
      <c r="AL3" s="4028"/>
      <c r="AM3" s="4028"/>
      <c r="AN3" s="4028"/>
      <c r="AO3" s="4028"/>
      <c r="AP3" s="4028"/>
      <c r="AQ3" s="4028"/>
      <c r="AR3" s="4029"/>
      <c r="AS3" s="1182" t="s">
        <v>606</v>
      </c>
      <c r="AU3" s="434"/>
      <c r="AV3" s="434" t="str">
        <f t="shared" si="0"/>
        <v>Территория действия тарифа</v>
      </c>
      <c r="AW3" s="434"/>
      <c r="AX3" s="434"/>
      <c r="AY3" s="1079">
        <v>0</v>
      </c>
    </row>
    <row r="4" spans="1:51" ht="23.25" hidden="1" customHeight="1">
      <c r="A4" s="1287"/>
      <c r="B4" s="1287"/>
      <c r="C4" s="1287"/>
      <c r="D4" s="1287"/>
      <c r="E4" s="4034"/>
      <c r="F4" s="4034"/>
      <c r="G4" s="4033">
        <v>1</v>
      </c>
      <c r="H4" s="1287"/>
      <c r="I4" s="1287"/>
      <c r="J4" s="1287"/>
      <c r="K4" s="1287"/>
      <c r="L4" s="1288"/>
      <c r="M4" s="1289"/>
      <c r="N4" s="1289"/>
      <c r="O4" s="1289"/>
      <c r="P4" s="288"/>
      <c r="Q4" s="286"/>
      <c r="R4" s="287"/>
      <c r="S4" s="1417" t="e">
        <f>INDEX(PT_DIFFERENTIATION_NUM_CS,MATCH(C4,PT_DIFFERENTIATION_CS_ID,0))</f>
        <v>#N/A</v>
      </c>
      <c r="T4" s="244" t="s">
        <v>739</v>
      </c>
      <c r="U4" s="235"/>
      <c r="V4" s="4027"/>
      <c r="W4" s="4028"/>
      <c r="X4" s="4028"/>
      <c r="Y4" s="4028"/>
      <c r="Z4" s="4028"/>
      <c r="AA4" s="4028"/>
      <c r="AB4" s="4028"/>
      <c r="AC4" s="4028"/>
      <c r="AD4" s="4028"/>
      <c r="AE4" s="4028"/>
      <c r="AF4" s="4029"/>
      <c r="AG4" s="4027" t="e">
        <f>INDEX(PT_DIFFERENTIATION_CS,MATCH(C4,PT_DIFFERENTIATION_CS_ID,0))</f>
        <v>#N/A</v>
      </c>
      <c r="AH4" s="4028"/>
      <c r="AI4" s="4028"/>
      <c r="AJ4" s="4028"/>
      <c r="AK4" s="4028"/>
      <c r="AL4" s="4028"/>
      <c r="AM4" s="4028"/>
      <c r="AN4" s="4028"/>
      <c r="AO4" s="4028"/>
      <c r="AP4" s="4028"/>
      <c r="AQ4" s="4028"/>
      <c r="AR4" s="4029"/>
      <c r="AS4" s="1182" t="s">
        <v>740</v>
      </c>
      <c r="AU4" s="434"/>
      <c r="AV4" s="434" t="str">
        <f t="shared" si="0"/>
        <v>Наименование централизованной системы горячего водоснабжения</v>
      </c>
      <c r="AW4" s="434"/>
      <c r="AX4" s="434"/>
      <c r="AY4" s="1079">
        <v>0</v>
      </c>
    </row>
    <row r="5" spans="1:51" ht="23.25" hidden="1" customHeight="1">
      <c r="A5" s="1287"/>
      <c r="B5" s="1287"/>
      <c r="C5" s="1287"/>
      <c r="D5" s="1287"/>
      <c r="E5" s="4034"/>
      <c r="F5" s="4034"/>
      <c r="G5" s="4034"/>
      <c r="H5" s="4034"/>
      <c r="I5" s="4035" t="e">
        <f>S4&amp;".1"</f>
        <v>#N/A</v>
      </c>
      <c r="J5" s="1287"/>
      <c r="K5" s="1287"/>
      <c r="L5" s="1288"/>
      <c r="P5" s="4037">
        <v>1</v>
      </c>
      <c r="Q5" s="1405"/>
      <c r="R5" s="290"/>
      <c r="S5" s="1417" t="e">
        <f>$I5</f>
        <v>#N/A</v>
      </c>
      <c r="T5" s="220" t="s">
        <v>692</v>
      </c>
      <c r="U5" s="235"/>
      <c r="V5" s="4101"/>
      <c r="W5" s="4102"/>
      <c r="X5" s="4102"/>
      <c r="Y5" s="4102"/>
      <c r="Z5" s="4102"/>
      <c r="AA5" s="4102"/>
      <c r="AB5" s="4102"/>
      <c r="AC5" s="4102"/>
      <c r="AD5" s="4102"/>
      <c r="AE5" s="4102"/>
      <c r="AF5" s="4103"/>
      <c r="AG5" s="4104"/>
      <c r="AH5" s="4105"/>
      <c r="AI5" s="4105"/>
      <c r="AJ5" s="4105"/>
      <c r="AK5" s="4105"/>
      <c r="AL5" s="4105"/>
      <c r="AM5" s="4105"/>
      <c r="AN5" s="4105"/>
      <c r="AO5" s="4105"/>
      <c r="AP5" s="4105"/>
      <c r="AQ5" s="4105"/>
      <c r="AR5" s="4106"/>
      <c r="AS5" s="1182" t="s">
        <v>693</v>
      </c>
      <c r="AU5" s="434"/>
      <c r="AV5" s="434" t="str">
        <f t="shared" si="0"/>
        <v>Наименование признака дифференциации</v>
      </c>
      <c r="AW5" s="434"/>
      <c r="AX5" s="434"/>
      <c r="AY5" s="1079">
        <v>0</v>
      </c>
    </row>
    <row r="6" spans="1:51" ht="23.25" hidden="1" customHeight="1">
      <c r="A6" s="1287"/>
      <c r="B6" s="1287"/>
      <c r="C6" s="1287"/>
      <c r="D6" s="1287"/>
      <c r="E6" s="4034"/>
      <c r="F6" s="4034"/>
      <c r="G6" s="4034"/>
      <c r="H6" s="4034"/>
      <c r="I6" s="4036"/>
      <c r="J6" s="4035" t="e">
        <f>I5&amp;".1"</f>
        <v>#N/A</v>
      </c>
      <c r="K6" s="1287"/>
      <c r="L6" s="1288" t="s">
        <v>614</v>
      </c>
      <c r="P6" s="4037"/>
      <c r="Q6" s="4037">
        <v>1</v>
      </c>
      <c r="R6" s="291"/>
      <c r="S6" s="1417" t="e">
        <f>$J6</f>
        <v>#N/A</v>
      </c>
      <c r="T6" s="221" t="s">
        <v>615</v>
      </c>
      <c r="U6" s="235"/>
      <c r="V6" s="4021"/>
      <c r="W6" s="4022"/>
      <c r="X6" s="4022"/>
      <c r="Y6" s="4022"/>
      <c r="Z6" s="4022"/>
      <c r="AA6" s="4022"/>
      <c r="AB6" s="4022"/>
      <c r="AC6" s="4022"/>
      <c r="AD6" s="4022"/>
      <c r="AE6" s="4022"/>
      <c r="AF6" s="4023"/>
      <c r="AG6" s="4021"/>
      <c r="AH6" s="4022"/>
      <c r="AI6" s="4022"/>
      <c r="AJ6" s="4022"/>
      <c r="AK6" s="4022"/>
      <c r="AL6" s="4022"/>
      <c r="AM6" s="4022"/>
      <c r="AN6" s="4022"/>
      <c r="AO6" s="4022"/>
      <c r="AP6" s="4022"/>
      <c r="AQ6" s="4022"/>
      <c r="AR6" s="4023"/>
      <c r="AS6" s="1231" t="s">
        <v>694</v>
      </c>
      <c r="AU6" s="434"/>
      <c r="AV6" s="434" t="str">
        <f t="shared" si="0"/>
        <v>Группа потребителей</v>
      </c>
      <c r="AW6" s="434"/>
      <c r="AX6" s="434"/>
      <c r="AY6" s="1079">
        <v>0</v>
      </c>
    </row>
    <row r="7" spans="1:51" ht="23.25" hidden="1" customHeight="1">
      <c r="A7" s="1287"/>
      <c r="B7" s="1287"/>
      <c r="C7" s="1287"/>
      <c r="D7" s="1287"/>
      <c r="E7" s="4034"/>
      <c r="F7" s="4034"/>
      <c r="G7" s="4034"/>
      <c r="H7" s="4034"/>
      <c r="I7" s="4036"/>
      <c r="J7" s="4036"/>
      <c r="K7" s="4035" t="e">
        <f>J6&amp;".1"</f>
        <v>#N/A</v>
      </c>
      <c r="L7" s="1288"/>
      <c r="P7" s="4037"/>
      <c r="Q7" s="4037"/>
      <c r="R7" s="291">
        <v>1</v>
      </c>
      <c r="S7" s="1417" t="e">
        <f>$K7</f>
        <v>#N/A</v>
      </c>
      <c r="T7" s="1361"/>
      <c r="U7" s="235"/>
      <c r="V7" s="685"/>
      <c r="W7" s="685"/>
      <c r="X7" s="685"/>
      <c r="Y7" s="685"/>
      <c r="Z7" s="685"/>
      <c r="AA7" s="685"/>
      <c r="AB7" s="685"/>
      <c r="AC7" s="4038"/>
      <c r="AD7" s="3899" t="s">
        <v>53</v>
      </c>
      <c r="AE7" s="4038"/>
      <c r="AF7" s="3899" t="s">
        <v>53</v>
      </c>
      <c r="AG7" s="685"/>
      <c r="AH7" s="685"/>
      <c r="AI7" s="685"/>
      <c r="AJ7" s="685"/>
      <c r="AK7" s="685"/>
      <c r="AL7" s="685"/>
      <c r="AM7" s="685"/>
      <c r="AN7" s="4038"/>
      <c r="AO7" s="3899" t="s">
        <v>53</v>
      </c>
      <c r="AP7" s="4040"/>
      <c r="AQ7" s="3899" t="s">
        <v>53</v>
      </c>
      <c r="AR7" s="1362"/>
      <c r="AS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9">
        <v>0</v>
      </c>
    </row>
    <row r="8" spans="1:51" ht="14.25" hidden="1" customHeight="1">
      <c r="A8" s="1287"/>
      <c r="B8" s="1287"/>
      <c r="C8" s="1287"/>
      <c r="D8" s="1287"/>
      <c r="E8" s="4034"/>
      <c r="F8" s="4034"/>
      <c r="G8" s="4034"/>
      <c r="H8" s="4034"/>
      <c r="I8" s="4036"/>
      <c r="J8" s="4036"/>
      <c r="K8" s="4035"/>
      <c r="L8" s="1288"/>
      <c r="P8" s="4037"/>
      <c r="Q8" s="4037"/>
      <c r="R8" s="291"/>
      <c r="S8" s="1414"/>
      <c r="T8" s="235"/>
      <c r="U8" s="235"/>
      <c r="V8" s="260"/>
      <c r="W8" s="260"/>
      <c r="X8" s="260"/>
      <c r="Y8" s="260"/>
      <c r="Z8" s="260"/>
      <c r="AA8" s="260"/>
      <c r="AB8" s="260"/>
      <c r="AC8" s="4039"/>
      <c r="AD8" s="3899"/>
      <c r="AE8" s="4039"/>
      <c r="AF8" s="3899"/>
      <c r="AG8" s="260"/>
      <c r="AH8" s="260"/>
      <c r="AI8" s="260"/>
      <c r="AJ8" s="260"/>
      <c r="AK8" s="260"/>
      <c r="AL8" s="260"/>
      <c r="AM8" s="260"/>
      <c r="AN8" s="4039"/>
      <c r="AO8" s="3899"/>
      <c r="AP8" s="4041"/>
      <c r="AQ8" s="3899"/>
      <c r="AR8" s="1363"/>
      <c r="AS8" s="4107"/>
      <c r="AU8" s="434"/>
      <c r="AV8" s="434" t="str">
        <f t="shared" si="0"/>
        <v/>
      </c>
      <c r="AW8" s="434"/>
      <c r="AX8" s="434"/>
      <c r="AY8" s="1079">
        <v>0</v>
      </c>
    </row>
    <row r="9" spans="1:51" ht="21" hidden="1" customHeight="1">
      <c r="A9" s="1287"/>
      <c r="B9" s="1287"/>
      <c r="C9" s="1287"/>
      <c r="D9" s="1287"/>
      <c r="E9" s="4034"/>
      <c r="F9" s="4034"/>
      <c r="G9" s="4034"/>
      <c r="H9" s="4034"/>
      <c r="I9" s="4036"/>
      <c r="J9" s="4035"/>
      <c r="K9" s="1287"/>
      <c r="L9" s="1288"/>
      <c r="P9" s="4037"/>
      <c r="Q9" s="4037"/>
      <c r="R9" s="290"/>
      <c r="S9" s="1202"/>
      <c r="T9" s="222" t="s">
        <v>695</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82" t="s">
        <v>696</v>
      </c>
      <c r="AU9" s="434"/>
      <c r="AV9" s="434" t="str">
        <f t="shared" si="0"/>
        <v>Добавить значение признака дифференциации</v>
      </c>
      <c r="AW9" s="434"/>
      <c r="AX9" s="434"/>
      <c r="AY9" s="1079">
        <v>0</v>
      </c>
    </row>
    <row r="10" spans="1:51" ht="21" hidden="1" customHeight="1">
      <c r="A10" s="1287"/>
      <c r="B10" s="1287"/>
      <c r="C10" s="1287"/>
      <c r="D10" s="1287"/>
      <c r="E10" s="4034"/>
      <c r="F10" s="4034"/>
      <c r="G10" s="4034"/>
      <c r="H10" s="4034"/>
      <c r="I10" s="4035"/>
      <c r="J10" s="1287"/>
      <c r="K10" s="1287"/>
      <c r="L10" s="1288"/>
      <c r="P10" s="4037"/>
      <c r="Q10" s="1405"/>
      <c r="R10" s="290"/>
      <c r="S10" s="1202"/>
      <c r="T10" s="299" t="s">
        <v>620</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64"/>
      <c r="AU10" s="434"/>
      <c r="AV10" s="434" t="str">
        <f t="shared" si="0"/>
        <v>Добавить группу потребителей</v>
      </c>
      <c r="AW10" s="434"/>
      <c r="AX10" s="434"/>
      <c r="AY10" s="1079">
        <v>0</v>
      </c>
    </row>
    <row r="11" spans="1:51" ht="21" hidden="1" customHeight="1">
      <c r="A11" s="1287"/>
      <c r="B11" s="1287"/>
      <c r="C11" s="1287"/>
      <c r="D11" s="1287"/>
      <c r="E11" s="4034"/>
      <c r="F11" s="4034"/>
      <c r="G11" s="4034"/>
      <c r="H11" s="4033"/>
      <c r="I11" s="1287"/>
      <c r="J11" s="1287"/>
      <c r="K11" s="1287"/>
      <c r="L11" s="1288"/>
      <c r="M11" s="1289"/>
      <c r="N11" s="1289"/>
      <c r="O11" s="471"/>
      <c r="P11" s="294"/>
      <c r="Q11" s="309"/>
      <c r="R11" s="289"/>
      <c r="S11" s="1202"/>
      <c r="T11" s="306" t="s">
        <v>697</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9">
        <v>0</v>
      </c>
    </row>
    <row r="12" spans="1:51" s="1566" customFormat="1" ht="14.25" hidden="1" customHeight="1">
      <c r="A12" s="1267"/>
      <c r="B12" s="1267"/>
      <c r="C12" s="1238"/>
      <c r="D12" s="1238"/>
      <c r="E12" s="4034"/>
      <c r="F12" s="4033"/>
      <c r="G12" s="1238"/>
      <c r="H12" s="1238"/>
      <c r="I12" s="1238"/>
      <c r="J12" s="1238"/>
      <c r="K12" s="1238"/>
      <c r="L12" s="1418"/>
      <c r="M12" s="1245"/>
      <c r="N12" s="1245"/>
      <c r="P12" s="1240"/>
      <c r="Q12" s="1241"/>
      <c r="R12" s="1240"/>
      <c r="S12" s="1246"/>
      <c r="T12" s="1249" t="s">
        <v>236</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7"/>
      <c r="AV12" s="717" t="str">
        <f t="shared" si="0"/>
        <v>Добавить централизованную систему для дифференциации</v>
      </c>
      <c r="AW12" s="717"/>
      <c r="AX12" s="717"/>
      <c r="AY12" s="452">
        <v>0</v>
      </c>
    </row>
    <row r="13" spans="1:51" s="1566" customFormat="1" ht="14.25" hidden="1" customHeight="1">
      <c r="A13" s="1267"/>
      <c r="B13" s="1267"/>
      <c r="C13" s="1267"/>
      <c r="D13" s="1267"/>
      <c r="E13" s="4033"/>
      <c r="F13" s="1267"/>
      <c r="G13" s="1267"/>
      <c r="H13" s="1267"/>
      <c r="I13" s="1267"/>
      <c r="J13" s="1267"/>
      <c r="K13" s="1267"/>
      <c r="L13" s="1270"/>
      <c r="M13" s="1245"/>
      <c r="N13" s="1245"/>
      <c r="O13" s="452"/>
      <c r="P13" s="314"/>
      <c r="Q13" s="1268"/>
      <c r="R13" s="314"/>
      <c r="S13" s="1246"/>
      <c r="T13" s="1249" t="s">
        <v>286</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4"/>
      <c r="AV13" s="434" t="str">
        <f t="shared" si="0"/>
        <v>Добавить территорию для дифференциации</v>
      </c>
      <c r="AW13" s="434"/>
      <c r="AX13" s="434"/>
      <c r="AY13" s="445">
        <v>0</v>
      </c>
    </row>
    <row r="14" spans="1:51" ht="14.25" hidden="1" customHeight="1">
      <c r="AF14" s="262"/>
      <c r="AQ14" s="262"/>
      <c r="AY14" s="1079">
        <v>0</v>
      </c>
    </row>
    <row r="15" spans="1:51" ht="14.25" hidden="1" customHeight="1">
      <c r="AG15" s="1284"/>
      <c r="AH15" s="1284"/>
      <c r="AI15" s="1284"/>
      <c r="AJ15" s="1284"/>
      <c r="AK15" s="1284"/>
      <c r="AL15" s="1284"/>
      <c r="AM15" s="1284"/>
      <c r="AN15" s="4031"/>
      <c r="AO15" s="4030" t="s">
        <v>53</v>
      </c>
      <c r="AP15" s="4031"/>
      <c r="AQ15" s="4030" t="s">
        <v>53</v>
      </c>
      <c r="AY15" s="1079">
        <v>0</v>
      </c>
    </row>
    <row r="16" spans="1:51" ht="14.25" hidden="1" customHeight="1">
      <c r="AG16" s="1284"/>
      <c r="AH16" s="1284"/>
      <c r="AI16" s="1284"/>
      <c r="AJ16" s="1284"/>
      <c r="AK16" s="1284"/>
      <c r="AL16" s="1284"/>
      <c r="AM16" s="1284"/>
      <c r="AN16" s="4030"/>
      <c r="AO16" s="4030"/>
      <c r="AP16" s="4030"/>
      <c r="AQ16" s="4030"/>
      <c r="AY16" s="1079">
        <v>0</v>
      </c>
    </row>
    <row r="17" spans="1:51" ht="14.25" hidden="1" customHeight="1">
      <c r="AQ17" s="262"/>
      <c r="AY17" s="1079">
        <v>0</v>
      </c>
    </row>
    <row r="18" spans="1:51" s="1290" customFormat="1" ht="22.5" hidden="1" customHeight="1">
      <c r="L18" s="1402"/>
      <c r="M18" s="1286"/>
      <c r="N18" s="1286"/>
      <c r="O18" s="1291" t="s">
        <v>622</v>
      </c>
      <c r="P18" s="1286"/>
      <c r="Q18" s="1295"/>
      <c r="R18" s="1295"/>
      <c r="S18" s="663"/>
      <c r="AC18" s="1291"/>
      <c r="AE18" s="1291"/>
      <c r="AN18" s="1291"/>
      <c r="AP18" s="1291"/>
      <c r="AT18" s="445"/>
      <c r="AU18" s="445"/>
      <c r="AV18" s="445"/>
      <c r="AW18" s="445"/>
      <c r="AX18" s="445"/>
      <c r="AY18" s="1084">
        <v>0</v>
      </c>
    </row>
    <row r="19" spans="1:51" s="1290" customFormat="1" ht="14.25" hidden="1" customHeight="1">
      <c r="L19" s="1402"/>
      <c r="M19" s="1286"/>
      <c r="N19" s="1286"/>
      <c r="O19" s="1286"/>
      <c r="P19" s="1286"/>
      <c r="Q19" s="1295"/>
      <c r="R19" s="1295"/>
      <c r="S19" s="663"/>
      <c r="AT19" s="445"/>
      <c r="AU19" s="445"/>
      <c r="AV19" s="445"/>
      <c r="AW19" s="445"/>
      <c r="AX19" s="445"/>
      <c r="AY19" s="1084">
        <v>0</v>
      </c>
    </row>
    <row r="20" spans="1:51" s="1290" customFormat="1" ht="12" hidden="1" customHeight="1">
      <c r="L20" s="1402"/>
      <c r="M20" s="1286"/>
      <c r="N20" s="1286"/>
      <c r="O20" s="1288" t="s">
        <v>623</v>
      </c>
      <c r="P20" s="1286"/>
      <c r="Q20" s="1366"/>
      <c r="R20" s="1366"/>
      <c r="S20" s="663"/>
      <c r="T20" s="1084" t="s">
        <v>624</v>
      </c>
      <c r="AD20" s="121" t="s">
        <v>625</v>
      </c>
      <c r="AF20" s="121" t="s">
        <v>626</v>
      </c>
      <c r="AG20" s="1084" t="s">
        <v>624</v>
      </c>
      <c r="AO20" s="121" t="s">
        <v>627</v>
      </c>
      <c r="AQ20" s="121" t="s">
        <v>626</v>
      </c>
      <c r="AY20" s="1084">
        <v>0</v>
      </c>
    </row>
    <row r="21" spans="1:51" ht="14.25" hidden="1" customHeight="1">
      <c r="O21" s="1288"/>
      <c r="AY21" s="1079">
        <v>0</v>
      </c>
    </row>
    <row r="22" spans="1:51" ht="14.25" hidden="1" customHeight="1">
      <c r="O22" s="1288"/>
      <c r="AY22" s="1079">
        <v>0</v>
      </c>
    </row>
    <row r="23" spans="1:51" ht="14.65" customHeight="1">
      <c r="Q23" s="310"/>
      <c r="R23" s="310"/>
      <c r="S23" s="1199"/>
      <c r="T23" s="297"/>
      <c r="U23" s="297"/>
      <c r="V23" s="443"/>
      <c r="AC23" s="443"/>
      <c r="AD23" s="443"/>
      <c r="AE23" s="443"/>
      <c r="AF23" s="443"/>
      <c r="AG23" s="443"/>
      <c r="AM23" s="443"/>
      <c r="AN23" s="443"/>
      <c r="AO23" s="443"/>
      <c r="AP23" s="443"/>
      <c r="AQ23" s="443"/>
      <c r="AY23" s="1079">
        <v>14</v>
      </c>
    </row>
    <row r="24" spans="1:51" ht="26.25" customHeight="1">
      <c r="Q24" s="310"/>
      <c r="R24" s="310"/>
      <c r="S24" s="40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014"/>
      <c r="U24" s="4014"/>
      <c r="V24" s="4014"/>
      <c r="W24" s="4014"/>
      <c r="X24" s="4014"/>
      <c r="Y24" s="4014"/>
      <c r="Z24" s="4014"/>
      <c r="AA24" s="4014"/>
      <c r="AB24" s="4014"/>
      <c r="AC24" s="4014"/>
      <c r="AD24" s="4014"/>
      <c r="AE24" s="4014"/>
      <c r="AF24" s="4014"/>
      <c r="AG24" s="4014"/>
      <c r="AH24" s="4014"/>
      <c r="AI24" s="4014"/>
      <c r="AJ24" s="4014"/>
      <c r="AK24" s="4014"/>
      <c r="AL24" s="4014"/>
      <c r="AM24" s="4014"/>
      <c r="AN24" s="4014"/>
      <c r="AO24" s="4014"/>
      <c r="AP24" s="4014"/>
      <c r="AQ24" s="1167"/>
      <c r="AY24" s="1079">
        <v>25</v>
      </c>
    </row>
    <row r="25" spans="1:51" ht="14.65" customHeight="1">
      <c r="Q25" s="310"/>
      <c r="R25" s="310"/>
      <c r="S25" s="3987" t="str">
        <f>IF(org=0,"Не определено",org)</f>
        <v>ООО "Смоленскрегионтеплоэнерго"</v>
      </c>
      <c r="T25" s="3987"/>
      <c r="U25" s="3987"/>
      <c r="V25" s="3987"/>
      <c r="W25" s="3987"/>
      <c r="X25" s="3987"/>
      <c r="Y25" s="3987"/>
      <c r="Z25" s="3987"/>
      <c r="AA25" s="3987"/>
      <c r="AB25" s="3987"/>
      <c r="AC25" s="3987"/>
      <c r="AD25" s="3987"/>
      <c r="AE25" s="3987"/>
      <c r="AF25" s="3987"/>
      <c r="AG25" s="3987"/>
      <c r="AH25" s="3987"/>
      <c r="AI25" s="3987"/>
      <c r="AJ25" s="3987"/>
      <c r="AK25" s="3987"/>
      <c r="AL25" s="3987"/>
      <c r="AM25" s="3987"/>
      <c r="AN25" s="3987"/>
      <c r="AO25" s="3987"/>
      <c r="AP25" s="3987"/>
      <c r="AQ25" s="1167"/>
      <c r="AY25" s="1079">
        <v>14</v>
      </c>
    </row>
    <row r="26" spans="1:51" ht="14.25" hidden="1" customHeight="1">
      <c r="Q26" s="310"/>
      <c r="R26" s="310"/>
      <c r="S26" s="1199"/>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9">
        <v>0</v>
      </c>
    </row>
    <row r="27" spans="1:51" s="1748" customFormat="1" ht="25.5" hidden="1" customHeight="1">
      <c r="A27" s="1292"/>
      <c r="B27" s="1292"/>
      <c r="C27" s="1292"/>
      <c r="D27" s="1292"/>
      <c r="E27" s="1292"/>
      <c r="F27" s="1292"/>
      <c r="G27" s="1292"/>
      <c r="H27" s="1292"/>
      <c r="I27" s="1292"/>
      <c r="J27" s="1292"/>
      <c r="K27" s="1292"/>
      <c r="L27" s="1293"/>
      <c r="M27" s="1292"/>
      <c r="N27" s="1292"/>
      <c r="O27" s="1292"/>
      <c r="S27" s="4024" t="s">
        <v>29</v>
      </c>
      <c r="T27" s="4024"/>
      <c r="U27" s="1296"/>
      <c r="V27" s="4026" t="str">
        <f>IF(TITLE_NAME_OR_PR_CHANGE="",IF(TITLE_NAME_OR_PR="","",TITLE_NAME_OR_PR),TITLE_NAME_OR_PR_CHANGE)</f>
        <v/>
      </c>
      <c r="W27" s="4026"/>
      <c r="X27" s="4026"/>
      <c r="Y27" s="4026"/>
      <c r="Z27" s="4026"/>
      <c r="AA27" s="4026"/>
      <c r="AB27" s="4026"/>
      <c r="AC27" s="4026"/>
      <c r="AD27" s="4026"/>
      <c r="AE27" s="4026"/>
      <c r="AF27" s="261"/>
      <c r="AG27" s="4026" t="str">
        <f>IF(TITLE_NAME_OR_PR_CHANGE="",IF(TITLE_NAME_OR_PR="","",TITLE_NAME_OR_PR),TITLE_NAME_OR_PR_CHANGE)</f>
        <v/>
      </c>
      <c r="AH27" s="4026"/>
      <c r="AI27" s="4026"/>
      <c r="AJ27" s="4026"/>
      <c r="AK27" s="4026"/>
      <c r="AL27" s="4026"/>
      <c r="AM27" s="4026"/>
      <c r="AN27" s="4026"/>
      <c r="AO27" s="4026"/>
      <c r="AP27" s="4026"/>
      <c r="AQ27" s="261"/>
      <c r="AR27" s="261"/>
      <c r="AS27" s="215"/>
      <c r="AT27" s="302"/>
      <c r="AU27" s="302"/>
      <c r="AV27" s="302"/>
      <c r="AW27" s="302"/>
      <c r="AX27" s="302"/>
      <c r="AY27" s="352">
        <v>0</v>
      </c>
    </row>
    <row r="28" spans="1:51" s="1748" customFormat="1" ht="18.75" hidden="1" customHeight="1">
      <c r="A28" s="1292"/>
      <c r="B28" s="1292"/>
      <c r="C28" s="1292"/>
      <c r="D28" s="1292"/>
      <c r="E28" s="1292"/>
      <c r="F28" s="1292"/>
      <c r="G28" s="1292"/>
      <c r="H28" s="1292"/>
      <c r="I28" s="1292"/>
      <c r="J28" s="1292"/>
      <c r="K28" s="1292"/>
      <c r="L28" s="1293"/>
      <c r="M28" s="1292"/>
      <c r="N28" s="1292"/>
      <c r="O28" s="1292"/>
      <c r="S28" s="4024" t="s">
        <v>628</v>
      </c>
      <c r="T28" s="4024"/>
      <c r="U28" s="1296"/>
      <c r="V28" s="4025">
        <f>IF(TITLE_DATE_PR_CHANGE="",IF(TITLE_DATE_PR="","",TITLE_DATE_PR),TITLE_DATE_PR_CHANGE)</f>
        <v>45765</v>
      </c>
      <c r="W28" s="4025"/>
      <c r="X28" s="4025"/>
      <c r="Y28" s="4025"/>
      <c r="Z28" s="4025"/>
      <c r="AA28" s="4025"/>
      <c r="AB28" s="4025"/>
      <c r="AC28" s="4025"/>
      <c r="AD28" s="4025"/>
      <c r="AE28" s="4025"/>
      <c r="AF28" s="261"/>
      <c r="AG28" s="4025">
        <f>IF(TITLE_DATE_PR_CHANGE="",IF(TITLE_DATE_PR="","",TITLE_DATE_PR),TITLE_DATE_PR_CHANGE)</f>
        <v>45765</v>
      </c>
      <c r="AH28" s="4025"/>
      <c r="AI28" s="4025"/>
      <c r="AJ28" s="4025"/>
      <c r="AK28" s="4025"/>
      <c r="AL28" s="4025"/>
      <c r="AM28" s="4025"/>
      <c r="AN28" s="4025"/>
      <c r="AO28" s="4025"/>
      <c r="AP28" s="4025"/>
      <c r="AQ28" s="261"/>
      <c r="AR28" s="261"/>
      <c r="AS28" s="215"/>
      <c r="AT28" s="302"/>
      <c r="AU28" s="302"/>
      <c r="AV28" s="302"/>
      <c r="AW28" s="302"/>
      <c r="AX28" s="302"/>
      <c r="AY28" s="352">
        <v>0</v>
      </c>
    </row>
    <row r="29" spans="1:51" s="1748" customFormat="1" ht="18.75" hidden="1" customHeight="1">
      <c r="A29" s="1292"/>
      <c r="B29" s="1292"/>
      <c r="C29" s="1292"/>
      <c r="D29" s="1292"/>
      <c r="E29" s="1292"/>
      <c r="F29" s="1292"/>
      <c r="G29" s="1292"/>
      <c r="H29" s="1292"/>
      <c r="I29" s="1292"/>
      <c r="J29" s="1292"/>
      <c r="K29" s="1292"/>
      <c r="L29" s="1293"/>
      <c r="M29" s="1292"/>
      <c r="N29" s="1292"/>
      <c r="O29" s="1292"/>
      <c r="S29" s="4024" t="s">
        <v>629</v>
      </c>
      <c r="T29" s="4024"/>
      <c r="U29" s="1296"/>
      <c r="V29" s="4026" t="str">
        <f>IF(TITLE_NUMBER_PR_CHANGE="",IF(TITLE_NUMBER_PR="","",TITLE_NUMBER_PR),TITLE_NUMBER_PR_CHANGE)</f>
        <v>917</v>
      </c>
      <c r="W29" s="4026"/>
      <c r="X29" s="4026"/>
      <c r="Y29" s="4026"/>
      <c r="Z29" s="4026"/>
      <c r="AA29" s="4026"/>
      <c r="AB29" s="4026"/>
      <c r="AC29" s="4026"/>
      <c r="AD29" s="4026"/>
      <c r="AE29" s="4026"/>
      <c r="AF29" s="261"/>
      <c r="AG29" s="4026" t="str">
        <f>IF(TITLE_NUMBER_PR_CHANGE="",IF(TITLE_NUMBER_PR="","",TITLE_NUMBER_PR),TITLE_NUMBER_PR_CHANGE)</f>
        <v>917</v>
      </c>
      <c r="AH29" s="4026"/>
      <c r="AI29" s="4026"/>
      <c r="AJ29" s="4026"/>
      <c r="AK29" s="4026"/>
      <c r="AL29" s="4026"/>
      <c r="AM29" s="4026"/>
      <c r="AN29" s="4026"/>
      <c r="AO29" s="4026"/>
      <c r="AP29" s="4026"/>
      <c r="AQ29" s="261"/>
      <c r="AR29" s="261"/>
      <c r="AS29" s="215"/>
      <c r="AT29" s="302"/>
      <c r="AU29" s="302"/>
      <c r="AV29" s="302"/>
      <c r="AW29" s="302"/>
      <c r="AX29" s="302"/>
      <c r="AY29" s="352">
        <v>0</v>
      </c>
    </row>
    <row r="30" spans="1:51" s="1748" customFormat="1" ht="18.75" hidden="1" customHeight="1">
      <c r="A30" s="1292"/>
      <c r="B30" s="1292"/>
      <c r="C30" s="1292"/>
      <c r="D30" s="1292"/>
      <c r="E30" s="1292"/>
      <c r="F30" s="1292"/>
      <c r="G30" s="1292"/>
      <c r="H30" s="1292"/>
      <c r="I30" s="1292"/>
      <c r="J30" s="1292"/>
      <c r="K30" s="1292"/>
      <c r="L30" s="1293"/>
      <c r="M30" s="1292"/>
      <c r="N30" s="1292"/>
      <c r="O30" s="1292"/>
      <c r="S30" s="4024" t="s">
        <v>30</v>
      </c>
      <c r="T30" s="4024"/>
      <c r="U30" s="1296"/>
      <c r="V30" s="4026" t="str">
        <f>IF(TITLE_IST_PUB_CHANGE="",IF(TITLE_IST_PUB="","",TITLE_IST_PUB),TITLE_IST_PUB_CHANGE)</f>
        <v/>
      </c>
      <c r="W30" s="4026"/>
      <c r="X30" s="4026"/>
      <c r="Y30" s="4026"/>
      <c r="Z30" s="4026"/>
      <c r="AA30" s="4026"/>
      <c r="AB30" s="4026"/>
      <c r="AC30" s="4026"/>
      <c r="AD30" s="4026"/>
      <c r="AE30" s="4026"/>
      <c r="AF30" s="261"/>
      <c r="AG30" s="4026" t="str">
        <f>IF(TITLE_IST_PUB_CHANGE="",IF(TITLE_IST_PUB="","",TITLE_IST_PUB),TITLE_IST_PUB_CHANGE)</f>
        <v/>
      </c>
      <c r="AH30" s="4026"/>
      <c r="AI30" s="4026"/>
      <c r="AJ30" s="4026"/>
      <c r="AK30" s="4026"/>
      <c r="AL30" s="4026"/>
      <c r="AM30" s="4026"/>
      <c r="AN30" s="4026"/>
      <c r="AO30" s="4026"/>
      <c r="AP30" s="4026"/>
      <c r="AQ30" s="261"/>
      <c r="AR30" s="261"/>
      <c r="AS30" s="215"/>
      <c r="AT30" s="302"/>
      <c r="AU30" s="302"/>
      <c r="AV30" s="302"/>
      <c r="AW30" s="302"/>
      <c r="AX30" s="302"/>
      <c r="AY30" s="352">
        <v>0</v>
      </c>
    </row>
    <row r="31" spans="1:51" ht="14.25" customHeight="1">
      <c r="Q31" s="310"/>
      <c r="R31" s="310"/>
      <c r="S31" s="1199"/>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9">
        <v>0</v>
      </c>
    </row>
    <row r="32" spans="1:51" s="1748" customFormat="1" ht="18.75" customHeight="1">
      <c r="A32" s="1292"/>
      <c r="B32" s="1292"/>
      <c r="C32" s="1292"/>
      <c r="D32" s="1292"/>
      <c r="E32" s="1292"/>
      <c r="F32" s="1292"/>
      <c r="G32" s="1292"/>
      <c r="H32" s="1292"/>
      <c r="I32" s="1292"/>
      <c r="J32" s="1292"/>
      <c r="K32" s="1292"/>
      <c r="L32" s="1293"/>
      <c r="M32" s="1292"/>
      <c r="N32" s="1292"/>
      <c r="O32" s="1292"/>
      <c r="S32" s="4024" t="s">
        <v>630</v>
      </c>
      <c r="T32" s="4024"/>
      <c r="U32" s="1296"/>
      <c r="V32" s="4025">
        <f>IF(TITLE_DATE_PR_CHANGE="",IF(TITLE_DATE_PR="","",TITLE_DATE_PR),TITLE_DATE_PR_CHANGE)</f>
        <v>45765</v>
      </c>
      <c r="W32" s="4025"/>
      <c r="X32" s="4025"/>
      <c r="Y32" s="4025"/>
      <c r="Z32" s="4025"/>
      <c r="AA32" s="4025"/>
      <c r="AB32" s="4025"/>
      <c r="AC32" s="4025"/>
      <c r="AD32" s="4025"/>
      <c r="AE32" s="4025"/>
      <c r="AF32" s="261"/>
      <c r="AG32" s="4025">
        <f>IF(TITLE_DATE_PR_CHANGE="",IF(TITLE_DATE_PR="","",TITLE_DATE_PR),TITLE_DATE_PR_CHANGE)</f>
        <v>45765</v>
      </c>
      <c r="AH32" s="4025"/>
      <c r="AI32" s="4025"/>
      <c r="AJ32" s="4025"/>
      <c r="AK32" s="4025"/>
      <c r="AL32" s="4025"/>
      <c r="AM32" s="4025"/>
      <c r="AN32" s="4025"/>
      <c r="AO32" s="4025"/>
      <c r="AP32" s="4025"/>
      <c r="AQ32" s="261"/>
      <c r="AR32" s="261"/>
      <c r="AS32" s="215"/>
      <c r="AT32" s="302"/>
      <c r="AU32" s="302"/>
      <c r="AV32" s="302"/>
      <c r="AW32" s="302"/>
      <c r="AX32" s="302"/>
      <c r="AY32" s="352">
        <v>0</v>
      </c>
    </row>
    <row r="33" spans="1:51" s="1748" customFormat="1" ht="18.75" customHeight="1">
      <c r="A33" s="1292"/>
      <c r="B33" s="1292"/>
      <c r="C33" s="1292"/>
      <c r="D33" s="1292"/>
      <c r="E33" s="1292"/>
      <c r="F33" s="1292"/>
      <c r="G33" s="1292"/>
      <c r="H33" s="1292"/>
      <c r="I33" s="1292"/>
      <c r="J33" s="1292"/>
      <c r="K33" s="1292"/>
      <c r="L33" s="1293"/>
      <c r="M33" s="1292"/>
      <c r="N33" s="1292"/>
      <c r="O33" s="1292"/>
      <c r="S33" s="4024" t="s">
        <v>631</v>
      </c>
      <c r="T33" s="4024"/>
      <c r="U33" s="1296"/>
      <c r="V33" s="4026" t="str">
        <f>IF(TITLE_NUMBER_PR_CHANGE="",IF(TITLE_NUMBER_PR="","",TITLE_NUMBER_PR),TITLE_NUMBER_PR_CHANGE)</f>
        <v>917</v>
      </c>
      <c r="W33" s="4026"/>
      <c r="X33" s="4026"/>
      <c r="Y33" s="4026"/>
      <c r="Z33" s="4026"/>
      <c r="AA33" s="4026"/>
      <c r="AB33" s="4026"/>
      <c r="AC33" s="4026"/>
      <c r="AD33" s="4026"/>
      <c r="AE33" s="4026"/>
      <c r="AF33" s="261"/>
      <c r="AG33" s="4026" t="str">
        <f>IF(TITLE_NUMBER_PR_CHANGE="",IF(TITLE_NUMBER_PR="","",TITLE_NUMBER_PR),TITLE_NUMBER_PR_CHANGE)</f>
        <v>917</v>
      </c>
      <c r="AH33" s="4026"/>
      <c r="AI33" s="4026"/>
      <c r="AJ33" s="4026"/>
      <c r="AK33" s="4026"/>
      <c r="AL33" s="4026"/>
      <c r="AM33" s="4026"/>
      <c r="AN33" s="4026"/>
      <c r="AO33" s="4026"/>
      <c r="AP33" s="4026"/>
      <c r="AQ33" s="261"/>
      <c r="AR33" s="261"/>
      <c r="AS33" s="215"/>
      <c r="AT33" s="302"/>
      <c r="AU33" s="302"/>
      <c r="AV33" s="302"/>
      <c r="AW33" s="302"/>
      <c r="AX33" s="302"/>
      <c r="AY33" s="352">
        <v>0</v>
      </c>
    </row>
    <row r="34" spans="1:51"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412"/>
      <c r="V34" s="261"/>
      <c r="W34" s="1559"/>
      <c r="X34" s="1559"/>
      <c r="Y34" s="1559"/>
      <c r="Z34" s="1559"/>
      <c r="AA34" s="1559"/>
      <c r="AB34" s="1559"/>
      <c r="AC34" s="261"/>
      <c r="AD34" s="261"/>
      <c r="AE34" s="261"/>
      <c r="AF34" s="213" t="s">
        <v>632</v>
      </c>
      <c r="AG34" s="261"/>
      <c r="AH34" s="1559"/>
      <c r="AI34" s="1559"/>
      <c r="AJ34" s="1559"/>
      <c r="AK34" s="1559"/>
      <c r="AL34" s="1559"/>
      <c r="AM34" s="261"/>
      <c r="AN34" s="261"/>
      <c r="AO34" s="261"/>
      <c r="AP34" s="261"/>
      <c r="AQ34" s="213" t="s">
        <v>632</v>
      </c>
      <c r="AT34" s="302"/>
      <c r="AU34" s="302"/>
      <c r="AV34" s="302"/>
      <c r="AW34" s="302"/>
      <c r="AX34" s="302"/>
      <c r="AY34" s="352">
        <v>1</v>
      </c>
    </row>
    <row r="35" spans="1:51" ht="14.65" customHeight="1">
      <c r="Q35" s="310"/>
      <c r="R35" s="310"/>
      <c r="S35" s="1199"/>
      <c r="T35" s="297"/>
      <c r="U35" s="1168"/>
      <c r="V35" s="4045"/>
      <c r="W35" s="4045"/>
      <c r="X35" s="4045"/>
      <c r="Y35" s="4045"/>
      <c r="Z35" s="4045"/>
      <c r="AA35" s="4045"/>
      <c r="AB35" s="4045"/>
      <c r="AC35" s="4045"/>
      <c r="AD35" s="4045"/>
      <c r="AE35" s="4045"/>
      <c r="AF35" s="4045"/>
      <c r="AG35" s="4045"/>
      <c r="AH35" s="4045"/>
      <c r="AI35" s="4045"/>
      <c r="AJ35" s="4045"/>
      <c r="AK35" s="4045"/>
      <c r="AL35" s="4045"/>
      <c r="AM35" s="4045"/>
      <c r="AN35" s="4045"/>
      <c r="AO35" s="4045"/>
      <c r="AP35" s="4045"/>
      <c r="AQ35" s="4045"/>
      <c r="AY35" s="1079">
        <v>14</v>
      </c>
    </row>
    <row r="36" spans="1:51" ht="14.65" customHeight="1">
      <c r="Q36" s="310"/>
      <c r="R36" s="310"/>
      <c r="S36" s="3889" t="s">
        <v>508</v>
      </c>
      <c r="T36" s="3889"/>
      <c r="U36" s="3889"/>
      <c r="V36" s="3889"/>
      <c r="W36" s="3889"/>
      <c r="X36" s="3889"/>
      <c r="Y36" s="3889"/>
      <c r="Z36" s="3889"/>
      <c r="AA36" s="3889"/>
      <c r="AB36" s="3889"/>
      <c r="AC36" s="3889"/>
      <c r="AD36" s="3889"/>
      <c r="AE36" s="3889"/>
      <c r="AF36" s="3889"/>
      <c r="AG36" s="3889"/>
      <c r="AH36" s="3889"/>
      <c r="AI36" s="3889"/>
      <c r="AJ36" s="3889"/>
      <c r="AK36" s="3889"/>
      <c r="AL36" s="3889"/>
      <c r="AM36" s="3889"/>
      <c r="AN36" s="3889"/>
      <c r="AO36" s="3889"/>
      <c r="AP36" s="3889"/>
      <c r="AQ36" s="3889"/>
      <c r="AR36" s="3889"/>
      <c r="AS36" s="3889" t="s">
        <v>509</v>
      </c>
      <c r="AY36" s="1079">
        <v>14</v>
      </c>
    </row>
    <row r="37" spans="1:51" ht="14.65" customHeight="1">
      <c r="Q37" s="310"/>
      <c r="R37" s="310"/>
      <c r="S37" s="4046" t="s">
        <v>75</v>
      </c>
      <c r="T37" s="3995" t="s">
        <v>633</v>
      </c>
      <c r="U37" s="236"/>
      <c r="V37" s="4047" t="s">
        <v>634</v>
      </c>
      <c r="W37" s="4063"/>
      <c r="X37" s="4063"/>
      <c r="Y37" s="4063"/>
      <c r="Z37" s="4063"/>
      <c r="AA37" s="4063"/>
      <c r="AB37" s="4063"/>
      <c r="AC37" s="4048"/>
      <c r="AD37" s="4048"/>
      <c r="AE37" s="4049"/>
      <c r="AF37" s="4050" t="s">
        <v>635</v>
      </c>
      <c r="AG37" s="4047" t="s">
        <v>634</v>
      </c>
      <c r="AH37" s="4048"/>
      <c r="AI37" s="4048"/>
      <c r="AJ37" s="4048"/>
      <c r="AK37" s="4048"/>
      <c r="AL37" s="4048"/>
      <c r="AM37" s="4048"/>
      <c r="AN37" s="4048"/>
      <c r="AO37" s="4048"/>
      <c r="AP37" s="4049"/>
      <c r="AQ37" s="4050" t="s">
        <v>636</v>
      </c>
      <c r="AR37" s="4053" t="s">
        <v>637</v>
      </c>
      <c r="AS37" s="3889"/>
      <c r="AY37" s="1079">
        <v>14</v>
      </c>
    </row>
    <row r="38" spans="1:51" ht="19.899999999999999" customHeight="1">
      <c r="Q38" s="310"/>
      <c r="R38" s="310"/>
      <c r="S38" s="4046"/>
      <c r="T38" s="3995"/>
      <c r="U38" s="958"/>
      <c r="V38" s="3889" t="s">
        <v>741</v>
      </c>
      <c r="W38" s="4117" t="s">
        <v>742</v>
      </c>
      <c r="X38" s="4117"/>
      <c r="Y38" s="4117"/>
      <c r="Z38" s="4117" t="s">
        <v>743</v>
      </c>
      <c r="AA38" s="4117"/>
      <c r="AB38" s="4117"/>
      <c r="AC38" s="3968" t="s">
        <v>641</v>
      </c>
      <c r="AD38" s="4075"/>
      <c r="AE38" s="3969"/>
      <c r="AF38" s="4051"/>
      <c r="AG38" s="3889" t="s">
        <v>741</v>
      </c>
      <c r="AH38" s="4117" t="s">
        <v>742</v>
      </c>
      <c r="AI38" s="4117"/>
      <c r="AJ38" s="4117"/>
      <c r="AK38" s="4117" t="s">
        <v>743</v>
      </c>
      <c r="AL38" s="4117"/>
      <c r="AM38" s="4117"/>
      <c r="AN38" s="3968" t="s">
        <v>641</v>
      </c>
      <c r="AO38" s="4075"/>
      <c r="AP38" s="3969"/>
      <c r="AQ38" s="4051"/>
      <c r="AR38" s="4054"/>
      <c r="AS38" s="3889"/>
      <c r="AY38" s="1079">
        <v>19</v>
      </c>
    </row>
    <row r="39" spans="1:51" s="1559" customFormat="1" ht="19.899999999999999" customHeight="1">
      <c r="A39" s="1290"/>
      <c r="B39" s="1290"/>
      <c r="C39" s="1290"/>
      <c r="D39" s="1290"/>
      <c r="E39" s="1290"/>
      <c r="F39" s="1290"/>
      <c r="G39" s="1290"/>
      <c r="H39" s="1290"/>
      <c r="I39" s="1290"/>
      <c r="J39" s="1290"/>
      <c r="K39" s="1290"/>
      <c r="L39" s="1843"/>
      <c r="M39" s="1286"/>
      <c r="N39" s="1286"/>
      <c r="O39" s="1286"/>
      <c r="P39" s="1857"/>
      <c r="Q39" s="310"/>
      <c r="R39" s="310"/>
      <c r="S39" s="4046"/>
      <c r="T39" s="3995"/>
      <c r="U39" s="958"/>
      <c r="V39" s="3889"/>
      <c r="W39" s="4117" t="s">
        <v>744</v>
      </c>
      <c r="X39" s="4117" t="s">
        <v>745</v>
      </c>
      <c r="Y39" s="4117"/>
      <c r="Z39" s="4117" t="s">
        <v>746</v>
      </c>
      <c r="AA39" s="4117" t="s">
        <v>745</v>
      </c>
      <c r="AB39" s="4117"/>
      <c r="AC39" s="3973"/>
      <c r="AD39" s="4076"/>
      <c r="AE39" s="3974"/>
      <c r="AF39" s="4051"/>
      <c r="AG39" s="3889"/>
      <c r="AH39" s="4117" t="s">
        <v>744</v>
      </c>
      <c r="AI39" s="4117" t="s">
        <v>745</v>
      </c>
      <c r="AJ39" s="4117"/>
      <c r="AK39" s="4117" t="s">
        <v>746</v>
      </c>
      <c r="AL39" s="4117" t="s">
        <v>745</v>
      </c>
      <c r="AM39" s="4117"/>
      <c r="AN39" s="3973"/>
      <c r="AO39" s="4076"/>
      <c r="AP39" s="3974"/>
      <c r="AQ39" s="4051"/>
      <c r="AR39" s="4054"/>
      <c r="AS39" s="3889"/>
      <c r="AT39" s="1560"/>
      <c r="AU39" s="1560"/>
      <c r="AV39" s="1560"/>
      <c r="AW39" s="1560"/>
      <c r="AX39" s="1560"/>
      <c r="AY39" s="1555">
        <v>19</v>
      </c>
    </row>
    <row r="40" spans="1:51" ht="61.9" customHeight="1">
      <c r="A40" s="1294"/>
      <c r="B40" s="1294" t="s">
        <v>207</v>
      </c>
      <c r="C40" s="1294" t="s">
        <v>208</v>
      </c>
      <c r="D40" s="1294" t="s">
        <v>209</v>
      </c>
      <c r="E40" s="1288" t="s">
        <v>642</v>
      </c>
      <c r="F40" s="1288" t="s">
        <v>643</v>
      </c>
      <c r="G40" s="1288" t="s">
        <v>644</v>
      </c>
      <c r="H40" s="1288"/>
      <c r="I40" s="1288" t="s">
        <v>699</v>
      </c>
      <c r="J40" s="1288" t="s">
        <v>647</v>
      </c>
      <c r="K40" s="1288" t="s">
        <v>700</v>
      </c>
      <c r="L40" s="1288" t="s">
        <v>623</v>
      </c>
      <c r="Q40" s="310"/>
      <c r="R40" s="310"/>
      <c r="S40" s="4046"/>
      <c r="T40" s="3995"/>
      <c r="U40" s="237"/>
      <c r="V40" s="3889"/>
      <c r="W40" s="4117"/>
      <c r="X40" s="1875" t="s">
        <v>747</v>
      </c>
      <c r="Y40" s="1875" t="s">
        <v>748</v>
      </c>
      <c r="Z40" s="4117"/>
      <c r="AA40" s="1875" t="s">
        <v>749</v>
      </c>
      <c r="AB40" s="1875" t="s">
        <v>750</v>
      </c>
      <c r="AC40" s="1413" t="s">
        <v>651</v>
      </c>
      <c r="AD40" s="4000" t="s">
        <v>652</v>
      </c>
      <c r="AE40" s="4013"/>
      <c r="AF40" s="4052"/>
      <c r="AG40" s="3889"/>
      <c r="AH40" s="4117"/>
      <c r="AI40" s="1875" t="s">
        <v>747</v>
      </c>
      <c r="AJ40" s="1875" t="s">
        <v>748</v>
      </c>
      <c r="AK40" s="4117"/>
      <c r="AL40" s="1875" t="s">
        <v>749</v>
      </c>
      <c r="AM40" s="1875" t="s">
        <v>750</v>
      </c>
      <c r="AN40" s="1413" t="s">
        <v>651</v>
      </c>
      <c r="AO40" s="4000" t="s">
        <v>652</v>
      </c>
      <c r="AP40" s="4013"/>
      <c r="AQ40" s="4052"/>
      <c r="AR40" s="4055"/>
      <c r="AS40" s="3889"/>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184</v>
      </c>
      <c r="T41" s="1179" t="s">
        <v>89</v>
      </c>
      <c r="U41" s="1169" t="str">
        <f ca="1">OFFSET(U41,0,-1)</f>
        <v>2</v>
      </c>
      <c r="V41" s="1406">
        <f ca="1">OFFSET(V41,0,-1)+1</f>
        <v>3</v>
      </c>
      <c r="W41" s="1265"/>
      <c r="X41" s="1265"/>
      <c r="Y41" s="1265"/>
      <c r="Z41" s="1265"/>
      <c r="AA41" s="1265"/>
      <c r="AB41" s="1265"/>
      <c r="AC41" s="1406">
        <f ca="1">OFFSET(AC41,0,-1)+1</f>
        <v>1</v>
      </c>
      <c r="AD41" s="4044">
        <f ca="1">OFFSET(AD41,0,-1)+1</f>
        <v>2</v>
      </c>
      <c r="AE41" s="4044"/>
      <c r="AF41" s="1406">
        <f ca="1">OFFSET(AF41,0,-2)+1</f>
        <v>3</v>
      </c>
      <c r="AG41" s="1406">
        <f ca="1">OFFSET(AG41,0,-1)+1</f>
        <v>4</v>
      </c>
      <c r="AH41" s="1848"/>
      <c r="AI41" s="1848"/>
      <c r="AJ41" s="1848"/>
      <c r="AK41" s="1848"/>
      <c r="AL41" s="1848"/>
      <c r="AM41" s="1406">
        <f ca="1">OFFSET(AM41,0,-1)+1</f>
        <v>1</v>
      </c>
      <c r="AN41" s="1406">
        <f ca="1">OFFSET(AN41,0,-1)+1</f>
        <v>2</v>
      </c>
      <c r="AO41" s="4044">
        <f ca="1">OFFSET(AO41,0,-1)+1</f>
        <v>3</v>
      </c>
      <c r="AP41" s="4044"/>
      <c r="AQ41" s="1406">
        <f ca="1">OFFSET(AQ41,0,-2)+1</f>
        <v>4</v>
      </c>
      <c r="AR41" s="1169">
        <f ca="1">OFFSET(AR41,0,-1)</f>
        <v>4</v>
      </c>
      <c r="AS41" s="1406">
        <f ca="1">OFFSET(AS41,0,-1)+1</f>
        <v>5</v>
      </c>
      <c r="AT41" s="445"/>
      <c r="AU41" s="445"/>
      <c r="AV41" s="445"/>
      <c r="AW41" s="445"/>
      <c r="AX41" s="445"/>
      <c r="AY41" s="430">
        <v>0</v>
      </c>
    </row>
    <row r="42" spans="1:51" ht="24" customHeight="1">
      <c r="A42" s="1287" t="s">
        <v>459</v>
      </c>
      <c r="B42" s="1287"/>
      <c r="C42" s="1287"/>
      <c r="D42" s="1287"/>
      <c r="E42" s="4033">
        <v>1</v>
      </c>
      <c r="F42" s="1287"/>
      <c r="G42" s="1287"/>
      <c r="H42" s="1287"/>
      <c r="I42" s="1287"/>
      <c r="J42" s="1287"/>
      <c r="K42" s="1287"/>
      <c r="L42" s="1288"/>
      <c r="M42" s="1289"/>
      <c r="N42" s="1289"/>
      <c r="O42" s="1289"/>
      <c r="P42" s="295"/>
      <c r="Q42" s="294"/>
      <c r="R42" s="289"/>
      <c r="S42" s="1417">
        <f>INDEX(PT_DIFFERENTIATION_NUM_NTAR,MATCH(A42,PT_DIFFERENTIATION_NTAR_ID,0))</f>
        <v>0</v>
      </c>
      <c r="T42" s="233" t="s">
        <v>195</v>
      </c>
      <c r="U42" s="235"/>
      <c r="V42" s="4027"/>
      <c r="W42" s="4028"/>
      <c r="X42" s="4028"/>
      <c r="Y42" s="4028"/>
      <c r="Z42" s="4028"/>
      <c r="AA42" s="4028"/>
      <c r="AB42" s="4028"/>
      <c r="AC42" s="4028"/>
      <c r="AD42" s="4028"/>
      <c r="AE42" s="4028"/>
      <c r="AF42" s="4029"/>
      <c r="AG42" s="4027" t="str">
        <f>INDEX(PT_DIFFERENTIATION_NTAR,MATCH(A42,PT_DIFFERENTIATION_NTAR_ID,0))</f>
        <v/>
      </c>
      <c r="AH42" s="4028"/>
      <c r="AI42" s="4028"/>
      <c r="AJ42" s="4028"/>
      <c r="AK42" s="4028"/>
      <c r="AL42" s="4028"/>
      <c r="AM42" s="4028"/>
      <c r="AN42" s="4028"/>
      <c r="AO42" s="4028"/>
      <c r="AP42" s="4028"/>
      <c r="AQ42" s="4028"/>
      <c r="AR42" s="4029"/>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9">
        <v>23</v>
      </c>
    </row>
    <row r="43" spans="1:51" ht="24" customHeight="1">
      <c r="A43" s="1287" t="s">
        <v>459</v>
      </c>
      <c r="B43" s="1287" t="s">
        <v>460</v>
      </c>
      <c r="C43" s="1287"/>
      <c r="D43" s="1287"/>
      <c r="E43" s="4034"/>
      <c r="F43" s="4033">
        <v>1</v>
      </c>
      <c r="G43" s="1287"/>
      <c r="H43" s="1287"/>
      <c r="I43" s="1287"/>
      <c r="J43" s="1287"/>
      <c r="K43" s="1287"/>
      <c r="L43" s="1288"/>
      <c r="M43" s="1289"/>
      <c r="N43" s="1289"/>
      <c r="O43" s="1289"/>
      <c r="P43" s="1411"/>
      <c r="Q43" s="286"/>
      <c r="R43" s="287"/>
      <c r="S43" s="1417" t="str">
        <f>INDEX(PT_DIFFERENTIATION_NUM_TER,MATCH(B43,PT_DIFFERENTIATION_TER_ID,0))</f>
        <v>.</v>
      </c>
      <c r="T43" s="243" t="s">
        <v>605</v>
      </c>
      <c r="U43" s="235"/>
      <c r="V43" s="4027"/>
      <c r="W43" s="4028"/>
      <c r="X43" s="4028"/>
      <c r="Y43" s="4028"/>
      <c r="Z43" s="4028"/>
      <c r="AA43" s="4028"/>
      <c r="AB43" s="4028"/>
      <c r="AC43" s="4028"/>
      <c r="AD43" s="4028"/>
      <c r="AE43" s="4028"/>
      <c r="AF43" s="4029"/>
      <c r="AG43" s="4027" t="str">
        <f>INDEX(PT_DIFFERENTIATION_TER,MATCH(B43,PT_DIFFERENTIATION_TER_ID,0))</f>
        <v/>
      </c>
      <c r="AH43" s="4028"/>
      <c r="AI43" s="4028"/>
      <c r="AJ43" s="4028"/>
      <c r="AK43" s="4028"/>
      <c r="AL43" s="4028"/>
      <c r="AM43" s="4028"/>
      <c r="AN43" s="4028"/>
      <c r="AO43" s="4028"/>
      <c r="AP43" s="4028"/>
      <c r="AQ43" s="4028"/>
      <c r="AR43" s="4029"/>
      <c r="AS43" s="1182" t="s">
        <v>606</v>
      </c>
      <c r="AU43" s="434"/>
      <c r="AV43" s="434" t="str">
        <f t="shared" si="1"/>
        <v>Территория действия тарифа</v>
      </c>
      <c r="AW43" s="434"/>
      <c r="AX43" s="434"/>
      <c r="AY43" s="1079">
        <v>23</v>
      </c>
    </row>
    <row r="44" spans="1:51" ht="24" customHeight="1">
      <c r="A44" s="1287" t="s">
        <v>459</v>
      </c>
      <c r="B44" s="1287" t="s">
        <v>460</v>
      </c>
      <c r="C44" s="1287" t="s">
        <v>461</v>
      </c>
      <c r="D44" s="1287"/>
      <c r="E44" s="4034"/>
      <c r="F44" s="4034"/>
      <c r="G44" s="4033">
        <v>1</v>
      </c>
      <c r="H44" s="1287"/>
      <c r="I44" s="1287"/>
      <c r="J44" s="1287"/>
      <c r="K44" s="1287"/>
      <c r="L44" s="1288"/>
      <c r="M44" s="1289"/>
      <c r="N44" s="1289"/>
      <c r="O44" s="1289"/>
      <c r="P44" s="288"/>
      <c r="Q44" s="286"/>
      <c r="R44" s="287"/>
      <c r="S44" s="1417" t="str">
        <f>INDEX(PT_DIFFERENTIATION_NUM_CS,MATCH(C44,PT_DIFFERENTIATION_CS_ID,0))</f>
        <v>..</v>
      </c>
      <c r="T44" s="244" t="s">
        <v>739</v>
      </c>
      <c r="U44" s="235"/>
      <c r="V44" s="4027"/>
      <c r="W44" s="4028"/>
      <c r="X44" s="4028"/>
      <c r="Y44" s="4028"/>
      <c r="Z44" s="4028"/>
      <c r="AA44" s="4028"/>
      <c r="AB44" s="4028"/>
      <c r="AC44" s="4028"/>
      <c r="AD44" s="4028"/>
      <c r="AE44" s="4028"/>
      <c r="AF44" s="4029"/>
      <c r="AG44" s="4027" t="str">
        <f>INDEX(PT_DIFFERENTIATION_CS,MATCH(C44,PT_DIFFERENTIATION_CS_ID,0))</f>
        <v/>
      </c>
      <c r="AH44" s="4028"/>
      <c r="AI44" s="4028"/>
      <c r="AJ44" s="4028"/>
      <c r="AK44" s="4028"/>
      <c r="AL44" s="4028"/>
      <c r="AM44" s="4028"/>
      <c r="AN44" s="4028"/>
      <c r="AO44" s="4028"/>
      <c r="AP44" s="4028"/>
      <c r="AQ44" s="4028"/>
      <c r="AR44" s="4029"/>
      <c r="AS44" s="1182" t="s">
        <v>740</v>
      </c>
      <c r="AU44" s="434"/>
      <c r="AV44" s="434" t="str">
        <f t="shared" si="1"/>
        <v>Наименование централизованной системы горячего водоснабжения</v>
      </c>
      <c r="AW44" s="434"/>
      <c r="AX44" s="434"/>
      <c r="AY44" s="1079">
        <v>23</v>
      </c>
    </row>
    <row r="45" spans="1:51" ht="24" customHeight="1">
      <c r="A45" s="1287" t="s">
        <v>459</v>
      </c>
      <c r="B45" s="1287" t="s">
        <v>460</v>
      </c>
      <c r="C45" s="1287" t="s">
        <v>461</v>
      </c>
      <c r="D45" s="1287" t="s">
        <v>751</v>
      </c>
      <c r="E45" s="4034"/>
      <c r="F45" s="4034"/>
      <c r="G45" s="4034"/>
      <c r="H45" s="4034"/>
      <c r="I45" s="4035" t="str">
        <f>S44&amp;".1"</f>
        <v>...1</v>
      </c>
      <c r="J45" s="1287"/>
      <c r="K45" s="1287"/>
      <c r="L45" s="1288"/>
      <c r="P45" s="4037">
        <v>1</v>
      </c>
      <c r="Q45" s="1405"/>
      <c r="R45" s="290"/>
      <c r="S45" s="1417" t="str">
        <f>$I45</f>
        <v>...1</v>
      </c>
      <c r="T45" s="220" t="s">
        <v>692</v>
      </c>
      <c r="U45" s="235"/>
      <c r="V45" s="4101"/>
      <c r="W45" s="4102"/>
      <c r="X45" s="4102"/>
      <c r="Y45" s="4102"/>
      <c r="Z45" s="4102"/>
      <c r="AA45" s="4102"/>
      <c r="AB45" s="4102"/>
      <c r="AC45" s="4102"/>
      <c r="AD45" s="4102"/>
      <c r="AE45" s="4102"/>
      <c r="AF45" s="4103"/>
      <c r="AG45" s="4104"/>
      <c r="AH45" s="4105"/>
      <c r="AI45" s="4105"/>
      <c r="AJ45" s="4105"/>
      <c r="AK45" s="4105"/>
      <c r="AL45" s="4105"/>
      <c r="AM45" s="4105"/>
      <c r="AN45" s="4105"/>
      <c r="AO45" s="4105"/>
      <c r="AP45" s="4105"/>
      <c r="AQ45" s="4105"/>
      <c r="AR45" s="4106"/>
      <c r="AS45" s="1182" t="s">
        <v>693</v>
      </c>
      <c r="AU45" s="434"/>
      <c r="AV45" s="434" t="str">
        <f t="shared" si="1"/>
        <v>Наименование признака дифференциации</v>
      </c>
      <c r="AW45" s="434"/>
      <c r="AX45" s="434"/>
      <c r="AY45" s="1079">
        <v>23</v>
      </c>
    </row>
    <row r="46" spans="1:51" ht="24" customHeight="1">
      <c r="A46" s="1287" t="s">
        <v>459</v>
      </c>
      <c r="B46" s="1287" t="s">
        <v>460</v>
      </c>
      <c r="C46" s="1287" t="s">
        <v>461</v>
      </c>
      <c r="D46" s="1287" t="s">
        <v>751</v>
      </c>
      <c r="E46" s="4034"/>
      <c r="F46" s="4034"/>
      <c r="G46" s="4034"/>
      <c r="H46" s="4034"/>
      <c r="I46" s="4036"/>
      <c r="J46" s="4035" t="str">
        <f>I45&amp;".1"</f>
        <v>...1.1</v>
      </c>
      <c r="K46" s="1287"/>
      <c r="L46" s="1288" t="s">
        <v>614</v>
      </c>
      <c r="P46" s="4037"/>
      <c r="Q46" s="4037">
        <v>1</v>
      </c>
      <c r="R46" s="291"/>
      <c r="S46" s="1417" t="str">
        <f>$J46</f>
        <v>...1.1</v>
      </c>
      <c r="T46" s="221" t="s">
        <v>615</v>
      </c>
      <c r="U46" s="235"/>
      <c r="V46" s="4021"/>
      <c r="W46" s="4022"/>
      <c r="X46" s="4022"/>
      <c r="Y46" s="4022"/>
      <c r="Z46" s="4022"/>
      <c r="AA46" s="4022"/>
      <c r="AB46" s="4022"/>
      <c r="AC46" s="4022"/>
      <c r="AD46" s="4022"/>
      <c r="AE46" s="4022"/>
      <c r="AF46" s="4023"/>
      <c r="AG46" s="4021"/>
      <c r="AH46" s="4022"/>
      <c r="AI46" s="4022"/>
      <c r="AJ46" s="4022"/>
      <c r="AK46" s="4022"/>
      <c r="AL46" s="4022"/>
      <c r="AM46" s="4022"/>
      <c r="AN46" s="4022"/>
      <c r="AO46" s="4022"/>
      <c r="AP46" s="4022"/>
      <c r="AQ46" s="4022"/>
      <c r="AR46" s="4023"/>
      <c r="AS46" s="1231" t="s">
        <v>694</v>
      </c>
      <c r="AU46" s="434"/>
      <c r="AV46" s="434" t="str">
        <f t="shared" si="1"/>
        <v>Группа потребителей</v>
      </c>
      <c r="AW46" s="434"/>
      <c r="AX46" s="434"/>
      <c r="AY46" s="1079">
        <v>23</v>
      </c>
    </row>
    <row r="47" spans="1:51" ht="24" customHeight="1">
      <c r="A47" s="1287" t="s">
        <v>459</v>
      </c>
      <c r="B47" s="1287" t="s">
        <v>460</v>
      </c>
      <c r="C47" s="1287" t="s">
        <v>461</v>
      </c>
      <c r="D47" s="1287" t="s">
        <v>751</v>
      </c>
      <c r="E47" s="4034"/>
      <c r="F47" s="4034"/>
      <c r="G47" s="4034"/>
      <c r="H47" s="4034"/>
      <c r="I47" s="4036"/>
      <c r="J47" s="4036"/>
      <c r="K47" s="4035" t="str">
        <f>J46&amp;".1"</f>
        <v>...1.1.1</v>
      </c>
      <c r="L47" s="1288"/>
      <c r="P47" s="4037"/>
      <c r="Q47" s="4037"/>
      <c r="R47" s="291">
        <v>1</v>
      </c>
      <c r="S47" s="1417" t="str">
        <f>$K47</f>
        <v>...1.1.1</v>
      </c>
      <c r="T47" s="1361"/>
      <c r="U47" s="235"/>
      <c r="V47" s="685"/>
      <c r="W47" s="685"/>
      <c r="X47" s="685"/>
      <c r="Y47" s="685"/>
      <c r="Z47" s="685"/>
      <c r="AA47" s="685"/>
      <c r="AB47" s="685"/>
      <c r="AC47" s="4031"/>
      <c r="AD47" s="4030" t="s">
        <v>53</v>
      </c>
      <c r="AE47" s="4031"/>
      <c r="AF47" s="4030" t="s">
        <v>53</v>
      </c>
      <c r="AG47" s="685"/>
      <c r="AH47" s="685"/>
      <c r="AI47" s="685"/>
      <c r="AJ47" s="685"/>
      <c r="AK47" s="685"/>
      <c r="AL47" s="685"/>
      <c r="AM47" s="685"/>
      <c r="AN47" s="4038"/>
      <c r="AO47" s="3899" t="s">
        <v>53</v>
      </c>
      <c r="AP47" s="4040"/>
      <c r="AQ47" s="3899" t="s">
        <v>6</v>
      </c>
      <c r="AR47" s="1362"/>
      <c r="AS4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9">
        <v>23</v>
      </c>
    </row>
    <row r="48" spans="1:51" ht="0" hidden="1" customHeight="1">
      <c r="A48" s="1287" t="s">
        <v>459</v>
      </c>
      <c r="B48" s="1287" t="s">
        <v>460</v>
      </c>
      <c r="C48" s="1287" t="s">
        <v>461</v>
      </c>
      <c r="D48" s="1287" t="s">
        <v>751</v>
      </c>
      <c r="E48" s="4034"/>
      <c r="F48" s="4034"/>
      <c r="G48" s="4034"/>
      <c r="H48" s="4034"/>
      <c r="I48" s="4036"/>
      <c r="J48" s="4036"/>
      <c r="K48" s="4035"/>
      <c r="L48" s="1288"/>
      <c r="P48" s="4037"/>
      <c r="Q48" s="4037"/>
      <c r="R48" s="291"/>
      <c r="S48" s="1414"/>
      <c r="T48" s="235"/>
      <c r="U48" s="235"/>
      <c r="V48" s="1284"/>
      <c r="W48" s="1284"/>
      <c r="X48" s="1284"/>
      <c r="Y48" s="1284"/>
      <c r="Z48" s="1284"/>
      <c r="AA48" s="1284"/>
      <c r="AB48" s="1284"/>
      <c r="AC48" s="4030"/>
      <c r="AD48" s="4030"/>
      <c r="AE48" s="4030"/>
      <c r="AF48" s="4030"/>
      <c r="AG48" s="260"/>
      <c r="AH48" s="260"/>
      <c r="AI48" s="260"/>
      <c r="AJ48" s="260"/>
      <c r="AK48" s="260"/>
      <c r="AL48" s="260"/>
      <c r="AM48" s="260"/>
      <c r="AN48" s="4039"/>
      <c r="AO48" s="3899"/>
      <c r="AP48" s="4041"/>
      <c r="AQ48" s="3899"/>
      <c r="AR48" s="1363"/>
      <c r="AS48" s="4107"/>
      <c r="AU48" s="434"/>
      <c r="AV48" s="434" t="str">
        <f t="shared" si="1"/>
        <v/>
      </c>
      <c r="AW48" s="434"/>
      <c r="AX48" s="434"/>
      <c r="AY48" s="1079">
        <v>0</v>
      </c>
    </row>
    <row r="49" spans="1:51" ht="21" customHeight="1">
      <c r="A49" s="1287" t="s">
        <v>459</v>
      </c>
      <c r="B49" s="1287" t="s">
        <v>460</v>
      </c>
      <c r="C49" s="1287" t="s">
        <v>461</v>
      </c>
      <c r="D49" s="1287" t="s">
        <v>751</v>
      </c>
      <c r="E49" s="4034"/>
      <c r="F49" s="4034"/>
      <c r="G49" s="4034"/>
      <c r="H49" s="4034"/>
      <c r="I49" s="4036"/>
      <c r="J49" s="4035"/>
      <c r="K49" s="1287"/>
      <c r="L49" s="1288"/>
      <c r="P49" s="4037"/>
      <c r="Q49" s="4037"/>
      <c r="R49" s="290"/>
      <c r="S49" s="1202"/>
      <c r="T49" s="222" t="s">
        <v>695</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82" t="s">
        <v>696</v>
      </c>
      <c r="AU49" s="434"/>
      <c r="AV49" s="434" t="str">
        <f t="shared" si="1"/>
        <v>Добавить значение признака дифференциации</v>
      </c>
      <c r="AW49" s="434"/>
      <c r="AX49" s="434"/>
      <c r="AY49" s="1079">
        <v>20</v>
      </c>
    </row>
    <row r="50" spans="1:51" ht="21.95" customHeight="1">
      <c r="A50" s="1287" t="s">
        <v>459</v>
      </c>
      <c r="B50" s="1287" t="s">
        <v>460</v>
      </c>
      <c r="C50" s="1287" t="s">
        <v>461</v>
      </c>
      <c r="D50" s="1287" t="s">
        <v>751</v>
      </c>
      <c r="E50" s="4034"/>
      <c r="F50" s="4034"/>
      <c r="G50" s="4034"/>
      <c r="H50" s="4034"/>
      <c r="I50" s="4035"/>
      <c r="J50" s="1287"/>
      <c r="K50" s="1287"/>
      <c r="L50" s="1288"/>
      <c r="P50" s="4037"/>
      <c r="Q50" s="1405"/>
      <c r="R50" s="290"/>
      <c r="S50" s="1202"/>
      <c r="T50" s="299" t="s">
        <v>620</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64"/>
      <c r="AU50" s="434"/>
      <c r="AV50" s="434" t="str">
        <f t="shared" si="1"/>
        <v>Добавить группу потребителей</v>
      </c>
      <c r="AW50" s="434"/>
      <c r="AX50" s="434"/>
      <c r="AY50" s="1079">
        <v>21</v>
      </c>
    </row>
    <row r="51" spans="1:51" ht="21.95" customHeight="1">
      <c r="A51" s="1287" t="s">
        <v>459</v>
      </c>
      <c r="B51" s="1287" t="s">
        <v>460</v>
      </c>
      <c r="C51" s="1287" t="s">
        <v>461</v>
      </c>
      <c r="D51" s="1287" t="s">
        <v>751</v>
      </c>
      <c r="E51" s="4034"/>
      <c r="F51" s="4034"/>
      <c r="G51" s="4034"/>
      <c r="H51" s="4033"/>
      <c r="I51" s="1287"/>
      <c r="J51" s="1287"/>
      <c r="K51" s="1287"/>
      <c r="L51" s="1288"/>
      <c r="M51" s="1289"/>
      <c r="N51" s="1289"/>
      <c r="O51" s="471"/>
      <c r="P51" s="294"/>
      <c r="Q51" s="309"/>
      <c r="R51" s="289"/>
      <c r="S51" s="1202"/>
      <c r="T51" s="306" t="s">
        <v>697</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9">
        <v>21</v>
      </c>
    </row>
    <row r="52" spans="1:51" s="1566" customFormat="1" ht="0" hidden="1" customHeight="1">
      <c r="A52" s="1267" t="s">
        <v>459</v>
      </c>
      <c r="B52" s="1267" t="s">
        <v>460</v>
      </c>
      <c r="C52" s="1238"/>
      <c r="D52" s="1238"/>
      <c r="E52" s="4034"/>
      <c r="F52" s="4033"/>
      <c r="G52" s="1238"/>
      <c r="H52" s="1238"/>
      <c r="I52" s="1238"/>
      <c r="J52" s="1238"/>
      <c r="K52" s="1238"/>
      <c r="L52" s="1418"/>
      <c r="M52" s="1245"/>
      <c r="N52" s="1245"/>
      <c r="P52" s="1240"/>
      <c r="Q52" s="1241"/>
      <c r="R52" s="1240"/>
      <c r="S52" s="1246"/>
      <c r="T52" s="1249" t="s">
        <v>236</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7"/>
      <c r="AV52" s="717" t="str">
        <f t="shared" si="1"/>
        <v>Добавить централизованную систему для дифференциации</v>
      </c>
      <c r="AW52" s="717"/>
      <c r="AX52" s="717"/>
      <c r="AY52" s="452">
        <v>0</v>
      </c>
    </row>
    <row r="53" spans="1:51" s="1566" customFormat="1" ht="0" hidden="1" customHeight="1">
      <c r="A53" s="1267" t="s">
        <v>459</v>
      </c>
      <c r="B53" s="1267"/>
      <c r="C53" s="1267"/>
      <c r="D53" s="1267"/>
      <c r="E53" s="4033"/>
      <c r="F53" s="1267"/>
      <c r="G53" s="1267"/>
      <c r="H53" s="1267"/>
      <c r="I53" s="1267"/>
      <c r="J53" s="1267"/>
      <c r="K53" s="1267"/>
      <c r="L53" s="1270"/>
      <c r="M53" s="1245"/>
      <c r="N53" s="1245"/>
      <c r="O53" s="452"/>
      <c r="P53" s="314"/>
      <c r="Q53" s="1268"/>
      <c r="R53" s="314"/>
      <c r="S53" s="1246"/>
      <c r="T53" s="1249" t="s">
        <v>286</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4"/>
      <c r="AV53" s="434" t="str">
        <f t="shared" si="1"/>
        <v>Добавить территорию для дифференциации</v>
      </c>
      <c r="AW53" s="434"/>
      <c r="AX53" s="434"/>
      <c r="AY53" s="445">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287</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7"/>
      <c r="AV54" s="717" t="str">
        <f t="shared" si="1"/>
        <v>Добавить наименование тарифа</v>
      </c>
      <c r="AW54" s="717"/>
      <c r="AX54" s="717"/>
      <c r="AY54" s="452">
        <v>0</v>
      </c>
    </row>
    <row r="55" spans="1:51" ht="11.45" customHeight="1">
      <c r="M55" s="1084"/>
      <c r="N55" s="1084"/>
      <c r="O55" s="471"/>
      <c r="P55" s="1079"/>
      <c r="Q55" s="1079"/>
      <c r="R55" s="1079"/>
      <c r="S55" s="1079"/>
      <c r="AT55" s="1079"/>
      <c r="AU55" s="1079"/>
      <c r="AV55" s="1079"/>
      <c r="AW55" s="1079"/>
      <c r="AX55" s="1079"/>
      <c r="AY55" s="1079">
        <v>11</v>
      </c>
    </row>
    <row r="56" spans="1:51" ht="14.65" customHeight="1">
      <c r="O56" s="471"/>
      <c r="S56" s="1177"/>
      <c r="T56" s="4032"/>
      <c r="U56" s="4032"/>
      <c r="V56" s="4032"/>
      <c r="W56" s="4032"/>
      <c r="X56" s="4032"/>
      <c r="Y56" s="4032"/>
      <c r="Z56" s="4032"/>
      <c r="AA56" s="4032"/>
      <c r="AB56" s="4032"/>
      <c r="AC56" s="4032"/>
      <c r="AD56" s="4032"/>
      <c r="AE56" s="4032"/>
      <c r="AF56" s="4032"/>
      <c r="AG56" s="4032"/>
      <c r="AH56" s="4032"/>
      <c r="AI56" s="4032"/>
      <c r="AJ56" s="4032"/>
      <c r="AK56" s="4032"/>
      <c r="AL56" s="4032"/>
      <c r="AM56" s="4032"/>
      <c r="AN56" s="4032"/>
      <c r="AO56" s="4032"/>
      <c r="AP56" s="4032"/>
      <c r="AQ56" s="4032"/>
      <c r="AR56" s="4032"/>
      <c r="AS56" s="4032"/>
      <c r="AY56" s="1079">
        <v>14</v>
      </c>
    </row>
    <row r="57" spans="1:51" ht="14.65" customHeight="1">
      <c r="O57" s="471"/>
      <c r="AY57" s="1079">
        <v>14</v>
      </c>
    </row>
    <row r="58" spans="1:51" ht="14.65" customHeight="1">
      <c r="O58" s="471"/>
      <c r="S58" s="1177"/>
      <c r="T58" s="4032"/>
      <c r="U58" s="4032"/>
      <c r="V58" s="4032"/>
      <c r="W58" s="4032"/>
      <c r="X58" s="4032"/>
      <c r="Y58" s="4032"/>
      <c r="Z58" s="4032"/>
      <c r="AA58" s="4032"/>
      <c r="AB58" s="4032"/>
      <c r="AC58" s="4032"/>
      <c r="AD58" s="4032"/>
      <c r="AE58" s="4032"/>
      <c r="AF58" s="4032"/>
      <c r="AG58" s="4032"/>
      <c r="AH58" s="4032"/>
      <c r="AI58" s="4032"/>
      <c r="AJ58" s="4032"/>
      <c r="AK58" s="4032"/>
      <c r="AL58" s="4032"/>
      <c r="AM58" s="4032"/>
      <c r="AN58" s="4032"/>
      <c r="AO58" s="4032"/>
      <c r="AP58" s="4032"/>
      <c r="AQ58" s="4032"/>
      <c r="AR58" s="4032"/>
      <c r="AS58" s="4032"/>
      <c r="AY58" s="1079">
        <v>14</v>
      </c>
    </row>
    <row r="59" spans="1:51" ht="22.5" hidden="1" customHeight="1">
      <c r="A59" s="1084" t="s">
        <v>69</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79">
        <v>3</v>
      </c>
      <c r="R59" s="279">
        <v>3</v>
      </c>
      <c r="S59" s="515">
        <v>12</v>
      </c>
      <c r="T59" s="1079">
        <v>35</v>
      </c>
      <c r="U59" s="1079">
        <v>0</v>
      </c>
      <c r="V59" s="1079">
        <v>0</v>
      </c>
      <c r="W59" s="1555">
        <v>0</v>
      </c>
      <c r="X59" s="1555">
        <v>0</v>
      </c>
      <c r="Y59" s="1555">
        <v>0</v>
      </c>
      <c r="Z59" s="1555">
        <v>0</v>
      </c>
      <c r="AA59" s="1555">
        <v>0</v>
      </c>
      <c r="AB59" s="1555">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5">
        <v>10</v>
      </c>
      <c r="AU59" s="445">
        <v>10</v>
      </c>
      <c r="AV59" s="445">
        <v>10</v>
      </c>
      <c r="AW59" s="445">
        <v>10</v>
      </c>
      <c r="AX59" s="445">
        <v>10</v>
      </c>
      <c r="AY59" s="1079">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48" hidden="1" customWidth="1"/>
    <col min="2" max="2" width="2" style="1748" hidden="1" customWidth="1"/>
    <col min="3" max="3" width="3" style="1748" customWidth="1"/>
    <col min="4" max="4" width="4" style="1748" customWidth="1"/>
    <col min="5" max="5" width="44" style="1748" customWidth="1"/>
    <col min="6" max="6" width="6.42578125" style="1748" customWidth="1"/>
    <col min="7" max="7" width="4" style="1748" customWidth="1"/>
    <col min="8" max="8" width="5" style="1748" customWidth="1"/>
    <col min="9" max="9" width="52" style="1748" customWidth="1"/>
    <col min="10" max="10" width="7" style="1748" customWidth="1"/>
    <col min="11" max="11" width="3" style="1748" customWidth="1"/>
    <col min="12" max="12" width="6" style="1748" customWidth="1"/>
    <col min="13" max="13" width="56" style="1748" customWidth="1"/>
    <col min="14" max="14" width="8" style="1294" customWidth="1"/>
    <col min="15" max="20" width="9.140625" style="1548" hidden="1"/>
    <col min="21" max="24" width="9.140625" style="1190" hidden="1"/>
    <col min="25" max="37" width="9.140625" style="1294" hidden="1"/>
    <col min="38" max="38" width="8" style="1294" customWidth="1"/>
    <col min="39" max="39" width="9.140625" style="1748" hidden="1"/>
  </cols>
  <sheetData>
    <row r="1" spans="1:39" ht="11.25" hidden="1" customHeight="1">
      <c r="AM1" s="517" t="s">
        <v>1</v>
      </c>
    </row>
    <row r="2" spans="1:39" ht="11.25" hidden="1" customHeight="1">
      <c r="AM2" s="517">
        <v>0</v>
      </c>
    </row>
    <row r="3" spans="1:39" ht="11.45" customHeight="1">
      <c r="AM3" s="517">
        <v>11</v>
      </c>
    </row>
    <row r="4" spans="1:39" ht="35.65" customHeight="1">
      <c r="A4" s="519"/>
      <c r="B4" s="519"/>
      <c r="D4" s="3882"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3883"/>
      <c r="F4" s="3883"/>
      <c r="G4" s="3883"/>
      <c r="H4" s="3883"/>
      <c r="I4" s="3884"/>
      <c r="J4" s="518"/>
      <c r="K4" s="518"/>
      <c r="L4" s="518"/>
      <c r="M4" s="518"/>
      <c r="AM4" s="517">
        <v>34</v>
      </c>
    </row>
    <row r="5" spans="1:39" s="523" customFormat="1" ht="14.65" customHeight="1">
      <c r="A5" s="519"/>
      <c r="B5" s="519"/>
      <c r="C5" s="519"/>
      <c r="D5" s="3885" t="str">
        <f>IF(org=0,"Не определено",org)</f>
        <v>ООО "Смоленскрегионтеплоэнерго"</v>
      </c>
      <c r="E5" s="3886"/>
      <c r="F5" s="3886"/>
      <c r="G5" s="3886"/>
      <c r="H5" s="3886"/>
      <c r="I5" s="3887"/>
      <c r="J5" s="520"/>
      <c r="K5" s="520"/>
      <c r="L5" s="520"/>
      <c r="M5" s="520"/>
      <c r="N5" s="520"/>
      <c r="O5" s="798"/>
      <c r="P5" s="798"/>
      <c r="Q5" s="798"/>
      <c r="R5" s="798"/>
      <c r="S5" s="798"/>
      <c r="T5" s="798"/>
      <c r="U5" s="1185"/>
      <c r="V5" s="1185"/>
      <c r="W5" s="1185"/>
      <c r="X5" s="1185"/>
      <c r="Y5" s="520"/>
      <c r="Z5" s="520"/>
      <c r="AA5" s="520"/>
      <c r="AB5" s="520"/>
      <c r="AC5" s="520"/>
      <c r="AD5" s="520"/>
      <c r="AE5" s="520"/>
      <c r="AF5" s="520"/>
      <c r="AG5" s="520"/>
      <c r="AH5" s="520"/>
      <c r="AI5" s="520"/>
      <c r="AJ5" s="520"/>
      <c r="AK5" s="520"/>
      <c r="AL5" s="520"/>
      <c r="AM5" s="521">
        <v>14</v>
      </c>
    </row>
    <row r="6" spans="1:39" s="523" customFormat="1" ht="6.4" customHeight="1">
      <c r="A6" s="3873"/>
      <c r="B6" s="3873"/>
      <c r="C6" s="3873"/>
      <c r="D6" s="3873"/>
      <c r="E6" s="3873"/>
      <c r="F6" s="3873"/>
      <c r="G6" s="522"/>
      <c r="H6" s="522"/>
      <c r="I6" s="522"/>
      <c r="J6" s="522"/>
      <c r="K6" s="522"/>
      <c r="N6" s="524"/>
      <c r="O6" s="1338"/>
      <c r="P6" s="1338"/>
      <c r="Q6" s="1338"/>
      <c r="R6" s="1338"/>
      <c r="S6" s="1338"/>
      <c r="T6" s="1338"/>
      <c r="U6" s="1188"/>
      <c r="V6" s="1188"/>
      <c r="W6" s="1188"/>
      <c r="X6" s="1188"/>
      <c r="Y6" s="524"/>
      <c r="Z6" s="524"/>
      <c r="AA6" s="524"/>
      <c r="AB6" s="524"/>
      <c r="AC6" s="524"/>
      <c r="AD6" s="524"/>
      <c r="AE6" s="524"/>
      <c r="AF6" s="524"/>
      <c r="AG6" s="524"/>
      <c r="AH6" s="524"/>
      <c r="AI6" s="524"/>
      <c r="AJ6" s="524"/>
      <c r="AK6" s="524"/>
      <c r="AL6" s="524"/>
      <c r="AM6" s="523">
        <v>6</v>
      </c>
    </row>
    <row r="7" spans="1:39" ht="45.75" hidden="1" customHeight="1">
      <c r="E7" s="389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893"/>
      <c r="G7" s="3893"/>
      <c r="H7" s="3893"/>
      <c r="I7" s="3893"/>
      <c r="J7" s="3893"/>
      <c r="K7" s="3893"/>
      <c r="L7" s="3893"/>
      <c r="M7" s="3893"/>
      <c r="AM7" s="517">
        <v>0</v>
      </c>
    </row>
    <row r="8" spans="1:39" s="523" customFormat="1" ht="6.4" customHeight="1">
      <c r="A8" s="525"/>
      <c r="B8" s="525"/>
      <c r="C8" s="525"/>
      <c r="D8" s="525"/>
      <c r="E8" s="525"/>
      <c r="F8" s="525"/>
      <c r="G8" s="525"/>
      <c r="H8" s="525"/>
      <c r="I8" s="525"/>
      <c r="J8" s="525"/>
      <c r="K8" s="525"/>
      <c r="L8" s="525"/>
      <c r="N8" s="520"/>
      <c r="O8" s="798"/>
      <c r="P8" s="798"/>
      <c r="Q8" s="798"/>
      <c r="R8" s="798"/>
      <c r="S8" s="798"/>
      <c r="T8" s="798"/>
      <c r="U8" s="1185"/>
      <c r="V8" s="1185"/>
      <c r="W8" s="1185"/>
      <c r="X8" s="1185"/>
      <c r="Y8" s="520"/>
      <c r="Z8" s="520"/>
      <c r="AA8" s="520"/>
      <c r="AB8" s="520"/>
      <c r="AC8" s="520"/>
      <c r="AD8" s="520"/>
      <c r="AE8" s="520"/>
      <c r="AF8" s="520"/>
      <c r="AG8" s="520"/>
      <c r="AH8" s="520"/>
      <c r="AI8" s="520"/>
      <c r="AJ8" s="520"/>
      <c r="AK8" s="520"/>
      <c r="AL8" s="520"/>
      <c r="AM8" s="521">
        <v>6</v>
      </c>
    </row>
    <row r="9" spans="1:39" ht="18.75" customHeight="1">
      <c r="A9" s="3888"/>
      <c r="B9" s="258"/>
      <c r="C9" s="258"/>
      <c r="D9" s="3889" t="s">
        <v>180</v>
      </c>
      <c r="E9" s="3889"/>
      <c r="F9" s="3890" t="s">
        <v>181</v>
      </c>
      <c r="G9" s="3891"/>
      <c r="H9" s="3891"/>
      <c r="I9" s="3891"/>
      <c r="J9" s="3894" t="s">
        <v>182</v>
      </c>
      <c r="K9" s="3894"/>
      <c r="L9" s="3894"/>
      <c r="M9" s="3894"/>
      <c r="AM9" s="517">
        <v>18</v>
      </c>
    </row>
    <row r="10" spans="1:39" ht="24" customHeight="1">
      <c r="A10" s="3888"/>
      <c r="B10" s="526"/>
      <c r="C10" s="459"/>
      <c r="D10" s="457" t="s">
        <v>75</v>
      </c>
      <c r="E10" s="457" t="s">
        <v>76</v>
      </c>
      <c r="F10" s="457" t="s">
        <v>183</v>
      </c>
      <c r="G10" s="3895" t="s">
        <v>75</v>
      </c>
      <c r="H10" s="3896"/>
      <c r="I10" s="457" t="s">
        <v>76</v>
      </c>
      <c r="J10" s="457" t="s">
        <v>183</v>
      </c>
      <c r="K10" s="3895" t="s">
        <v>75</v>
      </c>
      <c r="L10" s="3896"/>
      <c r="M10" s="457" t="s">
        <v>76</v>
      </c>
      <c r="N10" s="1551"/>
      <c r="AM10" s="517">
        <v>23</v>
      </c>
    </row>
    <row r="11" spans="1:39" s="1748" customFormat="1" ht="11.25" hidden="1" customHeight="1">
      <c r="A11" s="527"/>
      <c r="B11" s="527"/>
      <c r="C11" s="527"/>
      <c r="D11" s="528" t="s">
        <v>184</v>
      </c>
      <c r="E11" s="528" t="s">
        <v>89</v>
      </c>
      <c r="F11" s="528" t="s">
        <v>77</v>
      </c>
      <c r="G11" s="3878" t="s">
        <v>78</v>
      </c>
      <c r="H11" s="3879"/>
      <c r="I11" s="528" t="s">
        <v>115</v>
      </c>
      <c r="J11" s="528" t="s">
        <v>79</v>
      </c>
      <c r="K11" s="3880" t="s">
        <v>80</v>
      </c>
      <c r="L11" s="3881"/>
      <c r="M11" s="528" t="s">
        <v>134</v>
      </c>
      <c r="N11" s="1550"/>
      <c r="O11" s="1337"/>
      <c r="P11" s="1339"/>
      <c r="Q11" s="1339"/>
      <c r="R11" s="1339"/>
      <c r="S11" s="1339"/>
      <c r="T11" s="1339"/>
      <c r="U11" s="1189"/>
      <c r="V11" s="1189"/>
      <c r="W11" s="1189"/>
      <c r="X11" s="1189"/>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6"/>
      <c r="H12" s="986"/>
      <c r="I12" s="534"/>
      <c r="J12" s="534"/>
      <c r="K12" s="109"/>
      <c r="L12" s="301"/>
      <c r="M12" s="535"/>
      <c r="N12" s="1551"/>
      <c r="O12" s="1337" t="s">
        <v>185</v>
      </c>
      <c r="P12" s="1337" t="s">
        <v>186</v>
      </c>
      <c r="Q12" s="1337" t="s">
        <v>187</v>
      </c>
      <c r="R12" s="1337" t="s">
        <v>188</v>
      </c>
      <c r="AM12" s="517">
        <v>1</v>
      </c>
    </row>
    <row r="13" spans="1:39" s="1748" customFormat="1" ht="15.75" customHeight="1">
      <c r="A13" s="228"/>
      <c r="B13" s="228"/>
      <c r="C13" s="460"/>
      <c r="D13" s="3900" t="s">
        <v>184</v>
      </c>
      <c r="E13" s="3901"/>
      <c r="F13" s="3904" t="s">
        <v>53</v>
      </c>
      <c r="G13" s="3905"/>
      <c r="H13" s="3906">
        <v>1</v>
      </c>
      <c r="I13" s="3897" t="str">
        <f>IF(U13="","",INDEX(TERRITORY_MR_LIST,MATCH(U13,TERRITORY_LIST_ID,0)))</f>
        <v/>
      </c>
      <c r="J13" s="3899" t="s">
        <v>6</v>
      </c>
      <c r="K13" s="536"/>
      <c r="L13" s="461" t="s">
        <v>184</v>
      </c>
      <c r="M13" s="537" t="s">
        <v>15</v>
      </c>
      <c r="N13" s="740"/>
      <c r="O13" s="1340" t="s">
        <v>189</v>
      </c>
      <c r="P13" s="1337">
        <f>$E$13</f>
        <v>0</v>
      </c>
      <c r="Q13" s="1337" t="str">
        <f>IF($F$13="нет","без дифференциации",$I$13)</f>
        <v/>
      </c>
      <c r="R13" s="1337" t="str">
        <f>IF($J$13="нет","без дифференциации",M13)</f>
        <v>без дифференциации</v>
      </c>
      <c r="S13" s="1340"/>
      <c r="T13" s="1340"/>
      <c r="U13" s="1190"/>
      <c r="V13" s="1190"/>
      <c r="W13" s="1190"/>
      <c r="X13" s="1190"/>
      <c r="Y13" s="538" t="s">
        <v>190</v>
      </c>
      <c r="Z13" s="538">
        <v>1705000</v>
      </c>
      <c r="AA13" s="538"/>
      <c r="AB13" s="538"/>
      <c r="AC13" s="538"/>
      <c r="AD13" s="538"/>
      <c r="AE13" s="538"/>
      <c r="AF13" s="538"/>
      <c r="AG13" s="538"/>
      <c r="AH13" s="538"/>
      <c r="AI13" s="538"/>
      <c r="AJ13" s="538"/>
      <c r="AK13" s="538"/>
      <c r="AL13" s="538"/>
      <c r="AM13" s="540">
        <v>15</v>
      </c>
    </row>
    <row r="14" spans="1:39" s="1748" customFormat="1" ht="15.75" customHeight="1">
      <c r="A14" s="228"/>
      <c r="B14" s="228"/>
      <c r="C14" s="111"/>
      <c r="D14" s="3900"/>
      <c r="E14" s="3902"/>
      <c r="F14" s="3899"/>
      <c r="G14" s="3905"/>
      <c r="H14" s="3906"/>
      <c r="I14" s="3898"/>
      <c r="J14" s="3899"/>
      <c r="K14" s="355"/>
      <c r="L14" s="112"/>
      <c r="M14" s="541" t="s">
        <v>191</v>
      </c>
      <c r="N14" s="740"/>
      <c r="O14" s="1340"/>
      <c r="P14" s="1337"/>
      <c r="Q14" s="1337"/>
      <c r="R14" s="1337"/>
      <c r="S14" s="1340"/>
      <c r="T14" s="1340"/>
      <c r="U14" s="1190"/>
      <c r="V14" s="1190"/>
      <c r="W14" s="1190"/>
      <c r="X14" s="1190"/>
      <c r="Y14" s="538"/>
      <c r="Z14" s="538"/>
      <c r="AA14" s="538"/>
      <c r="AB14" s="538"/>
      <c r="AC14" s="538"/>
      <c r="AD14" s="538"/>
      <c r="AE14" s="538"/>
      <c r="AF14" s="538"/>
      <c r="AG14" s="538"/>
      <c r="AH14" s="538"/>
      <c r="AI14" s="538"/>
      <c r="AJ14" s="538"/>
      <c r="AK14" s="538"/>
      <c r="AL14" s="538"/>
      <c r="AM14" s="540">
        <v>15</v>
      </c>
    </row>
    <row r="15" spans="1:39" s="1748" customFormat="1" ht="15.75" customHeight="1">
      <c r="A15" s="228"/>
      <c r="B15" s="228"/>
      <c r="C15" s="111"/>
      <c r="D15" s="3900"/>
      <c r="E15" s="3903"/>
      <c r="F15" s="3899"/>
      <c r="G15" s="987"/>
      <c r="H15" s="988"/>
      <c r="I15" s="514" t="s">
        <v>192</v>
      </c>
      <c r="J15" s="112"/>
      <c r="K15" s="112"/>
      <c r="L15" s="112"/>
      <c r="M15" s="542"/>
      <c r="N15" s="740"/>
      <c r="O15" s="1340"/>
      <c r="P15" s="1337"/>
      <c r="Q15" s="1337"/>
      <c r="R15" s="1337"/>
      <c r="S15" s="1340"/>
      <c r="T15" s="1340"/>
      <c r="U15" s="1190"/>
      <c r="V15" s="1190"/>
      <c r="W15" s="1190"/>
      <c r="X15" s="1190"/>
      <c r="Y15" s="538"/>
      <c r="Z15" s="538"/>
      <c r="AA15" s="538"/>
      <c r="AB15" s="538"/>
      <c r="AC15" s="538"/>
      <c r="AD15" s="538"/>
      <c r="AE15" s="538"/>
      <c r="AF15" s="538"/>
      <c r="AG15" s="538"/>
      <c r="AH15" s="538"/>
      <c r="AI15" s="538"/>
      <c r="AJ15" s="538"/>
      <c r="AK15" s="538"/>
      <c r="AL15" s="538"/>
      <c r="AM15" s="540">
        <v>15</v>
      </c>
    </row>
    <row r="16" spans="1:39" ht="15.75" customHeight="1">
      <c r="A16" s="543"/>
      <c r="B16" s="72"/>
      <c r="C16" s="734"/>
      <c r="D16" s="355"/>
      <c r="E16" s="505" t="s">
        <v>193</v>
      </c>
      <c r="F16" s="112"/>
      <c r="G16" s="112"/>
      <c r="H16" s="112"/>
      <c r="I16" s="112"/>
      <c r="J16" s="112"/>
      <c r="K16" s="112" t="s">
        <v>15</v>
      </c>
      <c r="L16" s="112"/>
      <c r="M16" s="542"/>
      <c r="N16" s="1551"/>
      <c r="AM16" s="517">
        <v>15</v>
      </c>
    </row>
    <row r="17" spans="1:39" ht="11.25" hidden="1" customHeight="1">
      <c r="A17" s="517" t="s">
        <v>69</v>
      </c>
      <c r="B17" s="517">
        <v>0</v>
      </c>
      <c r="C17" s="517">
        <v>3</v>
      </c>
      <c r="D17" s="517">
        <v>4</v>
      </c>
      <c r="E17" s="517">
        <v>44</v>
      </c>
      <c r="F17" s="517">
        <v>6</v>
      </c>
      <c r="G17" s="517">
        <v>4</v>
      </c>
      <c r="H17" s="517">
        <v>5</v>
      </c>
      <c r="I17" s="517">
        <v>52</v>
      </c>
      <c r="J17" s="517">
        <v>6</v>
      </c>
      <c r="K17" s="517">
        <v>3</v>
      </c>
      <c r="L17" s="517">
        <v>6</v>
      </c>
      <c r="M17" s="517">
        <v>56</v>
      </c>
      <c r="N17" s="518">
        <v>8</v>
      </c>
      <c r="O17" s="1337">
        <v>0</v>
      </c>
      <c r="P17" s="1337">
        <v>0</v>
      </c>
      <c r="Q17" s="1337">
        <v>0</v>
      </c>
      <c r="R17" s="1337">
        <v>0</v>
      </c>
      <c r="S17" s="1337">
        <v>0</v>
      </c>
      <c r="T17" s="1337">
        <v>0</v>
      </c>
      <c r="U17" s="1187">
        <v>0</v>
      </c>
      <c r="V17" s="1187">
        <v>0</v>
      </c>
      <c r="W17" s="1187">
        <v>0</v>
      </c>
      <c r="X17" s="1187">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1979" hidden="1" customWidth="1"/>
    <col min="13" max="14" width="12.28515625" style="1672" hidden="1" customWidth="1"/>
    <col min="15" max="15" width="23.42578125" style="1672" hidden="1" customWidth="1"/>
    <col min="16" max="16" width="3" style="1975" customWidth="1"/>
    <col min="17" max="18" width="3" style="279" customWidth="1"/>
    <col min="19" max="19" width="12" style="1976"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B1" s="262"/>
      <c r="AC1" s="262"/>
      <c r="AM1" s="262"/>
      <c r="AN1" s="262"/>
      <c r="AY1" s="1079" t="s">
        <v>1</v>
      </c>
    </row>
    <row r="2" spans="1:51" ht="23.25" hidden="1" customHeight="1">
      <c r="A2" s="1287"/>
      <c r="B2" s="1287"/>
      <c r="C2" s="1287"/>
      <c r="D2" s="1287"/>
      <c r="E2" s="4033">
        <v>1</v>
      </c>
      <c r="F2" s="1287"/>
      <c r="G2" s="1287"/>
      <c r="H2" s="1287"/>
      <c r="I2" s="1287"/>
      <c r="J2" s="1287"/>
      <c r="K2" s="1287"/>
      <c r="L2" s="1288"/>
      <c r="M2" s="1289"/>
      <c r="N2" s="1289"/>
      <c r="O2" s="1289"/>
      <c r="P2" s="295"/>
      <c r="Q2" s="294"/>
      <c r="R2" s="289"/>
      <c r="S2" s="1417" t="e">
        <f>INDEX(PT_DIFFERENTIATION_NUM_NTAR,MATCH(A2,PT_DIFFERENTIATION_NTAR_ID,0))</f>
        <v>#N/A</v>
      </c>
      <c r="T2" s="233" t="s">
        <v>195</v>
      </c>
      <c r="U2" s="235"/>
      <c r="V2" s="4027"/>
      <c r="W2" s="4028"/>
      <c r="X2" s="4028"/>
      <c r="Y2" s="4028"/>
      <c r="Z2" s="4028"/>
      <c r="AA2" s="4028"/>
      <c r="AB2" s="4028"/>
      <c r="AC2" s="4028"/>
      <c r="AD2" s="4028"/>
      <c r="AE2" s="4028"/>
      <c r="AF2" s="4029"/>
      <c r="AG2" s="4027" t="e">
        <f>INDEX(PT_DIFFERENTIATION_NTAR,MATCH(A2,PT_DIFFERENTIATION_NTAR_ID,0))</f>
        <v>#N/A</v>
      </c>
      <c r="AH2" s="4028"/>
      <c r="AI2" s="4028"/>
      <c r="AJ2" s="4028"/>
      <c r="AK2" s="4028"/>
      <c r="AL2" s="4028"/>
      <c r="AM2" s="4028"/>
      <c r="AN2" s="4028"/>
      <c r="AO2" s="4028"/>
      <c r="AP2" s="4028"/>
      <c r="AQ2" s="4028"/>
      <c r="AR2" s="4029"/>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9">
        <v>0</v>
      </c>
    </row>
    <row r="3" spans="1:51" ht="23.25" hidden="1" customHeight="1">
      <c r="A3" s="1287"/>
      <c r="B3" s="1287"/>
      <c r="C3" s="1287"/>
      <c r="D3" s="1287"/>
      <c r="E3" s="4034"/>
      <c r="F3" s="4033">
        <v>1</v>
      </c>
      <c r="G3" s="1287"/>
      <c r="H3" s="1287"/>
      <c r="I3" s="1287"/>
      <c r="J3" s="1287"/>
      <c r="K3" s="1287"/>
      <c r="L3" s="1288"/>
      <c r="M3" s="1289"/>
      <c r="N3" s="1289"/>
      <c r="O3" s="1289"/>
      <c r="P3" s="1411"/>
      <c r="Q3" s="286"/>
      <c r="R3" s="287"/>
      <c r="S3" s="1417" t="e">
        <f>INDEX(PT_DIFFERENTIATION_NUM_TER,MATCH(B3,PT_DIFFERENTIATION_TER_ID,0))</f>
        <v>#N/A</v>
      </c>
      <c r="T3" s="243" t="s">
        <v>605</v>
      </c>
      <c r="U3" s="235"/>
      <c r="V3" s="4027"/>
      <c r="W3" s="4028"/>
      <c r="X3" s="4028"/>
      <c r="Y3" s="4028"/>
      <c r="Z3" s="4028"/>
      <c r="AA3" s="4028"/>
      <c r="AB3" s="4028"/>
      <c r="AC3" s="4028"/>
      <c r="AD3" s="4028"/>
      <c r="AE3" s="4028"/>
      <c r="AF3" s="4029"/>
      <c r="AG3" s="4027" t="e">
        <f>INDEX(PT_DIFFERENTIATION_TER,MATCH(B3,PT_DIFFERENTIATION_TER_ID,0))</f>
        <v>#N/A</v>
      </c>
      <c r="AH3" s="4028"/>
      <c r="AI3" s="4028"/>
      <c r="AJ3" s="4028"/>
      <c r="AK3" s="4028"/>
      <c r="AL3" s="4028"/>
      <c r="AM3" s="4028"/>
      <c r="AN3" s="4028"/>
      <c r="AO3" s="4028"/>
      <c r="AP3" s="4028"/>
      <c r="AQ3" s="4028"/>
      <c r="AR3" s="4029"/>
      <c r="AS3" s="1182" t="s">
        <v>606</v>
      </c>
      <c r="AU3" s="434"/>
      <c r="AV3" s="434" t="str">
        <f t="shared" si="0"/>
        <v>Территория действия тарифа</v>
      </c>
      <c r="AW3" s="434"/>
      <c r="AX3" s="434"/>
      <c r="AY3" s="1079">
        <v>0</v>
      </c>
    </row>
    <row r="4" spans="1:51" ht="23.25" hidden="1" customHeight="1">
      <c r="A4" s="1287"/>
      <c r="B4" s="1287"/>
      <c r="C4" s="1287"/>
      <c r="D4" s="1287"/>
      <c r="E4" s="4034"/>
      <c r="F4" s="4034"/>
      <c r="G4" s="4033">
        <v>1</v>
      </c>
      <c r="H4" s="1287"/>
      <c r="I4" s="1287"/>
      <c r="J4" s="1287"/>
      <c r="K4" s="1287"/>
      <c r="L4" s="1288"/>
      <c r="M4" s="1289"/>
      <c r="N4" s="1289"/>
      <c r="O4" s="1289"/>
      <c r="P4" s="288"/>
      <c r="Q4" s="286"/>
      <c r="R4" s="287"/>
      <c r="S4" s="1417" t="e">
        <f>INDEX(PT_DIFFERENTIATION_NUM_CS,MATCH(C4,PT_DIFFERENTIATION_CS_ID,0))</f>
        <v>#N/A</v>
      </c>
      <c r="T4" s="244" t="s">
        <v>739</v>
      </c>
      <c r="U4" s="235"/>
      <c r="V4" s="4027"/>
      <c r="W4" s="4028"/>
      <c r="X4" s="4028"/>
      <c r="Y4" s="4028"/>
      <c r="Z4" s="4028"/>
      <c r="AA4" s="4028"/>
      <c r="AB4" s="4028"/>
      <c r="AC4" s="4028"/>
      <c r="AD4" s="4028"/>
      <c r="AE4" s="4028"/>
      <c r="AF4" s="4029"/>
      <c r="AG4" s="4027" t="e">
        <f>INDEX(PT_DIFFERENTIATION_CS,MATCH(C4,PT_DIFFERENTIATION_CS_ID,0))</f>
        <v>#N/A</v>
      </c>
      <c r="AH4" s="4028"/>
      <c r="AI4" s="4028"/>
      <c r="AJ4" s="4028"/>
      <c r="AK4" s="4028"/>
      <c r="AL4" s="4028"/>
      <c r="AM4" s="4028"/>
      <c r="AN4" s="4028"/>
      <c r="AO4" s="4028"/>
      <c r="AP4" s="4028"/>
      <c r="AQ4" s="4028"/>
      <c r="AR4" s="4029"/>
      <c r="AS4" s="1182" t="s">
        <v>740</v>
      </c>
      <c r="AU4" s="434"/>
      <c r="AV4" s="434" t="str">
        <f t="shared" si="0"/>
        <v>Наименование централизованной системы горячего водоснабжения</v>
      </c>
      <c r="AW4" s="434"/>
      <c r="AX4" s="434"/>
      <c r="AY4" s="1079">
        <v>0</v>
      </c>
    </row>
    <row r="5" spans="1:51" ht="23.25" hidden="1" customHeight="1">
      <c r="A5" s="1287"/>
      <c r="B5" s="1287"/>
      <c r="C5" s="1287"/>
      <c r="D5" s="1287"/>
      <c r="E5" s="4034"/>
      <c r="F5" s="4034"/>
      <c r="G5" s="4034"/>
      <c r="H5" s="4034"/>
      <c r="I5" s="4035" t="e">
        <f>S4&amp;".1"</f>
        <v>#N/A</v>
      </c>
      <c r="J5" s="1287"/>
      <c r="K5" s="1287"/>
      <c r="L5" s="1288"/>
      <c r="P5" s="4037">
        <v>1</v>
      </c>
      <c r="Q5" s="1405"/>
      <c r="R5" s="290"/>
      <c r="S5" s="1417" t="e">
        <f>$I5</f>
        <v>#N/A</v>
      </c>
      <c r="T5" s="220" t="s">
        <v>692</v>
      </c>
      <c r="U5" s="235"/>
      <c r="V5" s="4101"/>
      <c r="W5" s="4102"/>
      <c r="X5" s="4102"/>
      <c r="Y5" s="4102"/>
      <c r="Z5" s="4102"/>
      <c r="AA5" s="4102"/>
      <c r="AB5" s="4102"/>
      <c r="AC5" s="4102"/>
      <c r="AD5" s="4102"/>
      <c r="AE5" s="4102"/>
      <c r="AF5" s="4103"/>
      <c r="AG5" s="4104"/>
      <c r="AH5" s="4105"/>
      <c r="AI5" s="4105"/>
      <c r="AJ5" s="4105"/>
      <c r="AK5" s="4105"/>
      <c r="AL5" s="4105"/>
      <c r="AM5" s="4105"/>
      <c r="AN5" s="4105"/>
      <c r="AO5" s="4105"/>
      <c r="AP5" s="4105"/>
      <c r="AQ5" s="4105"/>
      <c r="AR5" s="4106"/>
      <c r="AS5" s="1182" t="s">
        <v>693</v>
      </c>
      <c r="AU5" s="434"/>
      <c r="AV5" s="434" t="str">
        <f t="shared" si="0"/>
        <v>Наименование признака дифференциации</v>
      </c>
      <c r="AW5" s="434"/>
      <c r="AX5" s="434"/>
      <c r="AY5" s="1079">
        <v>0</v>
      </c>
    </row>
    <row r="6" spans="1:51" ht="23.25" hidden="1" customHeight="1">
      <c r="A6" s="1287"/>
      <c r="B6" s="1287"/>
      <c r="C6" s="1287"/>
      <c r="D6" s="1287"/>
      <c r="E6" s="4034"/>
      <c r="F6" s="4034"/>
      <c r="G6" s="4034"/>
      <c r="H6" s="4034"/>
      <c r="I6" s="4036"/>
      <c r="J6" s="4035" t="e">
        <f>I5&amp;".1"</f>
        <v>#N/A</v>
      </c>
      <c r="K6" s="1287"/>
      <c r="L6" s="1288" t="s">
        <v>614</v>
      </c>
      <c r="P6" s="4037"/>
      <c r="Q6" s="4037">
        <v>1</v>
      </c>
      <c r="R6" s="291"/>
      <c r="S6" s="1417" t="e">
        <f>$J6</f>
        <v>#N/A</v>
      </c>
      <c r="T6" s="221" t="s">
        <v>615</v>
      </c>
      <c r="U6" s="235"/>
      <c r="V6" s="4021"/>
      <c r="W6" s="4022"/>
      <c r="X6" s="4022"/>
      <c r="Y6" s="4022"/>
      <c r="Z6" s="4022"/>
      <c r="AA6" s="4022"/>
      <c r="AB6" s="4022"/>
      <c r="AC6" s="4022"/>
      <c r="AD6" s="4022"/>
      <c r="AE6" s="4022"/>
      <c r="AF6" s="4023"/>
      <c r="AG6" s="4021"/>
      <c r="AH6" s="4022"/>
      <c r="AI6" s="4022"/>
      <c r="AJ6" s="4022"/>
      <c r="AK6" s="4022"/>
      <c r="AL6" s="4022"/>
      <c r="AM6" s="4022"/>
      <c r="AN6" s="4022"/>
      <c r="AO6" s="4022"/>
      <c r="AP6" s="4022"/>
      <c r="AQ6" s="4022"/>
      <c r="AR6" s="4023"/>
      <c r="AS6" s="1231" t="s">
        <v>694</v>
      </c>
      <c r="AU6" s="434"/>
      <c r="AV6" s="434" t="str">
        <f t="shared" si="0"/>
        <v>Группа потребителей</v>
      </c>
      <c r="AW6" s="434"/>
      <c r="AX6" s="434"/>
      <c r="AY6" s="1079">
        <v>0</v>
      </c>
    </row>
    <row r="7" spans="1:51" ht="23.25" hidden="1" customHeight="1">
      <c r="A7" s="1287"/>
      <c r="B7" s="1287"/>
      <c r="C7" s="1287"/>
      <c r="D7" s="1287"/>
      <c r="E7" s="4034"/>
      <c r="F7" s="4034"/>
      <c r="G7" s="4034"/>
      <c r="H7" s="4034"/>
      <c r="I7" s="4036"/>
      <c r="J7" s="4036"/>
      <c r="K7" s="4035" t="e">
        <f>J6&amp;".1"</f>
        <v>#N/A</v>
      </c>
      <c r="L7" s="1288"/>
      <c r="P7" s="4037"/>
      <c r="Q7" s="4037"/>
      <c r="R7" s="291">
        <v>1</v>
      </c>
      <c r="S7" s="1417" t="e">
        <f>$K7</f>
        <v>#N/A</v>
      </c>
      <c r="T7" s="1361"/>
      <c r="U7" s="235"/>
      <c r="V7" s="685"/>
      <c r="W7" s="685"/>
      <c r="X7" s="685"/>
      <c r="Y7" s="685"/>
      <c r="Z7" s="685"/>
      <c r="AA7" s="685"/>
      <c r="AB7" s="1181"/>
      <c r="AC7" s="4038"/>
      <c r="AD7" s="3899" t="s">
        <v>53</v>
      </c>
      <c r="AE7" s="4038"/>
      <c r="AF7" s="3899" t="s">
        <v>53</v>
      </c>
      <c r="AG7" s="685"/>
      <c r="AH7" s="685"/>
      <c r="AI7" s="685"/>
      <c r="AJ7" s="685"/>
      <c r="AK7" s="685"/>
      <c r="AL7" s="685"/>
      <c r="AM7" s="1181"/>
      <c r="AN7" s="4038"/>
      <c r="AO7" s="3899" t="s">
        <v>53</v>
      </c>
      <c r="AP7" s="4040"/>
      <c r="AQ7" s="3899" t="s">
        <v>53</v>
      </c>
      <c r="AR7" s="1362"/>
      <c r="AS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9">
        <v>0</v>
      </c>
    </row>
    <row r="8" spans="1:51" ht="14.25" hidden="1" customHeight="1">
      <c r="A8" s="1287"/>
      <c r="B8" s="1287"/>
      <c r="C8" s="1287"/>
      <c r="D8" s="1287"/>
      <c r="E8" s="4034"/>
      <c r="F8" s="4034"/>
      <c r="G8" s="4034"/>
      <c r="H8" s="4034"/>
      <c r="I8" s="4036"/>
      <c r="J8" s="4036"/>
      <c r="K8" s="4035"/>
      <c r="L8" s="1288"/>
      <c r="P8" s="4037"/>
      <c r="Q8" s="4037"/>
      <c r="R8" s="291"/>
      <c r="S8" s="1414"/>
      <c r="T8" s="235"/>
      <c r="U8" s="235"/>
      <c r="V8" s="260"/>
      <c r="W8" s="260"/>
      <c r="X8" s="260"/>
      <c r="Y8" s="260"/>
      <c r="Z8" s="260"/>
      <c r="AA8" s="260"/>
      <c r="AB8" s="263" t="str">
        <f>AC7&amp;"-"&amp;AE7</f>
        <v>-</v>
      </c>
      <c r="AC8" s="4039"/>
      <c r="AD8" s="3899"/>
      <c r="AE8" s="4039"/>
      <c r="AF8" s="3899"/>
      <c r="AG8" s="260"/>
      <c r="AH8" s="260"/>
      <c r="AI8" s="260"/>
      <c r="AJ8" s="260"/>
      <c r="AK8" s="260"/>
      <c r="AL8" s="260"/>
      <c r="AM8" s="263" t="str">
        <f>AN7&amp;"-"&amp;AP7</f>
        <v>-</v>
      </c>
      <c r="AN8" s="4039"/>
      <c r="AO8" s="3899"/>
      <c r="AP8" s="4041"/>
      <c r="AQ8" s="3899"/>
      <c r="AR8" s="1363"/>
      <c r="AS8" s="4107"/>
      <c r="AU8" s="434"/>
      <c r="AV8" s="434" t="str">
        <f t="shared" si="0"/>
        <v/>
      </c>
      <c r="AW8" s="434"/>
      <c r="AX8" s="434"/>
      <c r="AY8" s="1079">
        <v>0</v>
      </c>
    </row>
    <row r="9" spans="1:51" ht="21" hidden="1" customHeight="1">
      <c r="A9" s="1287"/>
      <c r="B9" s="1287"/>
      <c r="C9" s="1287"/>
      <c r="D9" s="1287"/>
      <c r="E9" s="4034"/>
      <c r="F9" s="4034"/>
      <c r="G9" s="4034"/>
      <c r="H9" s="4034"/>
      <c r="I9" s="4036"/>
      <c r="J9" s="4035"/>
      <c r="K9" s="1287"/>
      <c r="L9" s="1288"/>
      <c r="P9" s="4037"/>
      <c r="Q9" s="4037"/>
      <c r="R9" s="290"/>
      <c r="S9" s="1202"/>
      <c r="T9" s="222" t="s">
        <v>695</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82" t="s">
        <v>696</v>
      </c>
      <c r="AU9" s="434"/>
      <c r="AV9" s="434" t="str">
        <f t="shared" si="0"/>
        <v>Добавить значение признака дифференциации</v>
      </c>
      <c r="AW9" s="434"/>
      <c r="AX9" s="434"/>
      <c r="AY9" s="1079">
        <v>0</v>
      </c>
    </row>
    <row r="10" spans="1:51" ht="21" hidden="1" customHeight="1">
      <c r="A10" s="1287"/>
      <c r="B10" s="1287"/>
      <c r="C10" s="1287"/>
      <c r="D10" s="1287"/>
      <c r="E10" s="4034"/>
      <c r="F10" s="4034"/>
      <c r="G10" s="4034"/>
      <c r="H10" s="4034"/>
      <c r="I10" s="4035"/>
      <c r="J10" s="1287"/>
      <c r="K10" s="1287"/>
      <c r="L10" s="1288"/>
      <c r="P10" s="4037"/>
      <c r="Q10" s="1405"/>
      <c r="R10" s="290"/>
      <c r="S10" s="1202"/>
      <c r="T10" s="299" t="s">
        <v>620</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64"/>
      <c r="AU10" s="434"/>
      <c r="AV10" s="434" t="str">
        <f t="shared" si="0"/>
        <v>Добавить группу потребителей</v>
      </c>
      <c r="AW10" s="434"/>
      <c r="AX10" s="434"/>
      <c r="AY10" s="1079">
        <v>0</v>
      </c>
    </row>
    <row r="11" spans="1:51" ht="21" hidden="1" customHeight="1">
      <c r="A11" s="1287"/>
      <c r="B11" s="1287"/>
      <c r="C11" s="1287"/>
      <c r="D11" s="1287"/>
      <c r="E11" s="4034"/>
      <c r="F11" s="4034"/>
      <c r="G11" s="4034"/>
      <c r="H11" s="4033"/>
      <c r="I11" s="1287"/>
      <c r="J11" s="1287"/>
      <c r="K11" s="1287"/>
      <c r="L11" s="1288"/>
      <c r="M11" s="1289"/>
      <c r="N11" s="1289"/>
      <c r="O11" s="471"/>
      <c r="P11" s="294"/>
      <c r="Q11" s="309"/>
      <c r="R11" s="289"/>
      <c r="S11" s="1202"/>
      <c r="T11" s="306" t="s">
        <v>697</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9">
        <v>0</v>
      </c>
    </row>
    <row r="12" spans="1:51" s="1566" customFormat="1" ht="14.25" hidden="1" customHeight="1">
      <c r="A12" s="1267"/>
      <c r="B12" s="1267"/>
      <c r="C12" s="1238"/>
      <c r="D12" s="1238"/>
      <c r="E12" s="4034"/>
      <c r="F12" s="4033"/>
      <c r="G12" s="1238"/>
      <c r="H12" s="1238"/>
      <c r="I12" s="1238"/>
      <c r="J12" s="1238"/>
      <c r="K12" s="1238"/>
      <c r="L12" s="1418"/>
      <c r="M12" s="1245"/>
      <c r="N12" s="1245"/>
      <c r="P12" s="1240"/>
      <c r="Q12" s="1241"/>
      <c r="R12" s="1240"/>
      <c r="S12" s="1246"/>
      <c r="T12" s="1249" t="s">
        <v>236</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7"/>
      <c r="AV12" s="717" t="str">
        <f t="shared" si="0"/>
        <v>Добавить централизованную систему для дифференциации</v>
      </c>
      <c r="AW12" s="717"/>
      <c r="AX12" s="717"/>
      <c r="AY12" s="452">
        <v>0</v>
      </c>
    </row>
    <row r="13" spans="1:51" s="1566" customFormat="1" ht="14.25" hidden="1" customHeight="1">
      <c r="A13" s="1267"/>
      <c r="B13" s="1267"/>
      <c r="C13" s="1267"/>
      <c r="D13" s="1267"/>
      <c r="E13" s="4033"/>
      <c r="F13" s="1267"/>
      <c r="G13" s="1267"/>
      <c r="H13" s="1267"/>
      <c r="I13" s="1267"/>
      <c r="J13" s="1267"/>
      <c r="K13" s="1267"/>
      <c r="L13" s="1270"/>
      <c r="M13" s="1245"/>
      <c r="N13" s="1245"/>
      <c r="O13" s="452"/>
      <c r="P13" s="314"/>
      <c r="Q13" s="1268"/>
      <c r="R13" s="314"/>
      <c r="S13" s="1246"/>
      <c r="T13" s="1249" t="s">
        <v>286</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4"/>
      <c r="AV13" s="434" t="str">
        <f t="shared" si="0"/>
        <v>Добавить территорию для дифференциации</v>
      </c>
      <c r="AW13" s="434"/>
      <c r="AX13" s="434"/>
      <c r="AY13" s="445">
        <v>0</v>
      </c>
    </row>
    <row r="14" spans="1:51" ht="14.25" hidden="1" customHeight="1">
      <c r="AF14" s="262"/>
      <c r="AQ14" s="262"/>
      <c r="AY14" s="1079">
        <v>0</v>
      </c>
    </row>
    <row r="15" spans="1:51" ht="14.25" hidden="1" customHeight="1">
      <c r="AG15" s="1284"/>
      <c r="AH15" s="1284"/>
      <c r="AI15" s="1284"/>
      <c r="AJ15" s="1284"/>
      <c r="AK15" s="1284"/>
      <c r="AL15" s="1284"/>
      <c r="AM15" s="1285"/>
      <c r="AN15" s="4031"/>
      <c r="AO15" s="4030" t="s">
        <v>53</v>
      </c>
      <c r="AP15" s="4031"/>
      <c r="AQ15" s="4030" t="s">
        <v>53</v>
      </c>
      <c r="AY15" s="1079">
        <v>0</v>
      </c>
    </row>
    <row r="16" spans="1:51" ht="14.25" hidden="1" customHeight="1">
      <c r="AG16" s="1284"/>
      <c r="AH16" s="1284"/>
      <c r="AI16" s="1284"/>
      <c r="AJ16" s="1284"/>
      <c r="AK16" s="1284"/>
      <c r="AL16" s="1284"/>
      <c r="AM16" s="263" t="str">
        <f>AN15&amp;"-"&amp;AP15</f>
        <v>-</v>
      </c>
      <c r="AN16" s="4030"/>
      <c r="AO16" s="4030"/>
      <c r="AP16" s="4030"/>
      <c r="AQ16" s="4030"/>
      <c r="AY16" s="1079">
        <v>0</v>
      </c>
    </row>
    <row r="17" spans="1:51" ht="14.25" hidden="1" customHeight="1">
      <c r="AQ17" s="262"/>
      <c r="AY17" s="1079">
        <v>0</v>
      </c>
    </row>
    <row r="18" spans="1:51" s="1290" customFormat="1" ht="22.5" hidden="1" customHeight="1">
      <c r="L18" s="1402"/>
      <c r="M18" s="1286"/>
      <c r="N18" s="1286"/>
      <c r="O18" s="1291" t="s">
        <v>622</v>
      </c>
      <c r="P18" s="1286"/>
      <c r="Q18" s="1295"/>
      <c r="R18" s="1295"/>
      <c r="S18" s="663"/>
      <c r="AC18" s="1291"/>
      <c r="AE18" s="1291"/>
      <c r="AN18" s="1291"/>
      <c r="AP18" s="1291"/>
      <c r="AT18" s="445"/>
      <c r="AU18" s="445"/>
      <c r="AV18" s="445"/>
      <c r="AW18" s="445"/>
      <c r="AX18" s="445"/>
      <c r="AY18" s="1084">
        <v>0</v>
      </c>
    </row>
    <row r="19" spans="1:51" s="1290" customFormat="1" ht="14.25" hidden="1" customHeight="1">
      <c r="L19" s="1402"/>
      <c r="M19" s="1286"/>
      <c r="N19" s="1286"/>
      <c r="O19" s="1286"/>
      <c r="P19" s="1286"/>
      <c r="Q19" s="1295"/>
      <c r="R19" s="1295"/>
      <c r="S19" s="663"/>
      <c r="AT19" s="445"/>
      <c r="AU19" s="445"/>
      <c r="AV19" s="445"/>
      <c r="AW19" s="445"/>
      <c r="AX19" s="445"/>
      <c r="AY19" s="1084">
        <v>0</v>
      </c>
    </row>
    <row r="20" spans="1:51" s="1290" customFormat="1" ht="12" hidden="1" customHeight="1">
      <c r="L20" s="1402"/>
      <c r="M20" s="1286"/>
      <c r="N20" s="1286"/>
      <c r="O20" s="1288" t="s">
        <v>623</v>
      </c>
      <c r="P20" s="1286"/>
      <c r="Q20" s="1366"/>
      <c r="R20" s="1366"/>
      <c r="S20" s="663"/>
      <c r="T20" s="1084" t="s">
        <v>624</v>
      </c>
      <c r="AD20" s="121" t="s">
        <v>625</v>
      </c>
      <c r="AF20" s="121" t="s">
        <v>626</v>
      </c>
      <c r="AG20" s="1084" t="s">
        <v>624</v>
      </c>
      <c r="AO20" s="121" t="s">
        <v>627</v>
      </c>
      <c r="AQ20" s="121" t="s">
        <v>626</v>
      </c>
      <c r="AY20" s="1084">
        <v>0</v>
      </c>
    </row>
    <row r="21" spans="1:51" ht="14.25" hidden="1" customHeight="1">
      <c r="O21" s="1288"/>
      <c r="AY21" s="1079">
        <v>0</v>
      </c>
    </row>
    <row r="22" spans="1:51" ht="14.25" hidden="1" customHeight="1">
      <c r="O22" s="1288"/>
      <c r="AY22" s="1079">
        <v>0</v>
      </c>
    </row>
    <row r="23" spans="1:51" ht="14.65" customHeight="1">
      <c r="Q23" s="310"/>
      <c r="R23" s="310"/>
      <c r="S23" s="1199"/>
      <c r="T23" s="297"/>
      <c r="U23" s="297"/>
      <c r="V23" s="443"/>
      <c r="AB23" s="443"/>
      <c r="AC23" s="443"/>
      <c r="AD23" s="443"/>
      <c r="AE23" s="443"/>
      <c r="AF23" s="443"/>
      <c r="AG23" s="443"/>
      <c r="AM23" s="443"/>
      <c r="AN23" s="443"/>
      <c r="AO23" s="443"/>
      <c r="AP23" s="443"/>
      <c r="AQ23" s="443"/>
      <c r="AY23" s="1079">
        <v>14</v>
      </c>
    </row>
    <row r="24" spans="1:51" ht="26.25" customHeight="1">
      <c r="Q24" s="310"/>
      <c r="R24" s="310"/>
      <c r="S24" s="40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4014"/>
      <c r="U24" s="4014"/>
      <c r="V24" s="4014"/>
      <c r="W24" s="4014"/>
      <c r="X24" s="4014"/>
      <c r="Y24" s="4014"/>
      <c r="Z24" s="4014"/>
      <c r="AA24" s="4014"/>
      <c r="AB24" s="4014"/>
      <c r="AC24" s="4014"/>
      <c r="AD24" s="4014"/>
      <c r="AE24" s="4014"/>
      <c r="AF24" s="4014"/>
      <c r="AG24" s="4014"/>
      <c r="AH24" s="4014"/>
      <c r="AI24" s="4014"/>
      <c r="AJ24" s="4014"/>
      <c r="AK24" s="4014"/>
      <c r="AL24" s="4014"/>
      <c r="AM24" s="4014"/>
      <c r="AN24" s="4014"/>
      <c r="AO24" s="4014"/>
      <c r="AP24" s="4014"/>
      <c r="AQ24" s="1167"/>
      <c r="AY24" s="1079">
        <v>25</v>
      </c>
    </row>
    <row r="25" spans="1:51" ht="14.65" customHeight="1">
      <c r="Q25" s="310"/>
      <c r="R25" s="310"/>
      <c r="S25" s="3987" t="str">
        <f>IF(org=0,"Не определено",org)</f>
        <v>ООО "Смоленскрегионтеплоэнерго"</v>
      </c>
      <c r="T25" s="3987"/>
      <c r="U25" s="3987"/>
      <c r="V25" s="3987"/>
      <c r="W25" s="3987"/>
      <c r="X25" s="3987"/>
      <c r="Y25" s="3987"/>
      <c r="Z25" s="3987"/>
      <c r="AA25" s="3987"/>
      <c r="AB25" s="3987"/>
      <c r="AC25" s="3987"/>
      <c r="AD25" s="3987"/>
      <c r="AE25" s="3987"/>
      <c r="AF25" s="3987"/>
      <c r="AG25" s="3987"/>
      <c r="AH25" s="3987"/>
      <c r="AI25" s="3987"/>
      <c r="AJ25" s="3987"/>
      <c r="AK25" s="3987"/>
      <c r="AL25" s="3987"/>
      <c r="AM25" s="3987"/>
      <c r="AN25" s="3987"/>
      <c r="AO25" s="3987"/>
      <c r="AP25" s="3987"/>
      <c r="AQ25" s="1167"/>
      <c r="AY25" s="1079">
        <v>14</v>
      </c>
    </row>
    <row r="26" spans="1:51" ht="14.25" hidden="1" customHeight="1">
      <c r="Q26" s="310"/>
      <c r="R26" s="310"/>
      <c r="S26" s="1199"/>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9">
        <v>0</v>
      </c>
    </row>
    <row r="27" spans="1:51" s="1748" customFormat="1" ht="25.5" hidden="1" customHeight="1">
      <c r="A27" s="1292"/>
      <c r="B27" s="1292"/>
      <c r="C27" s="1292"/>
      <c r="D27" s="1292"/>
      <c r="E27" s="1292"/>
      <c r="F27" s="1292"/>
      <c r="G27" s="1292"/>
      <c r="H27" s="1292"/>
      <c r="I27" s="1292"/>
      <c r="J27" s="1292"/>
      <c r="K27" s="1292"/>
      <c r="L27" s="1293"/>
      <c r="M27" s="1292"/>
      <c r="N27" s="1292"/>
      <c r="O27" s="1292"/>
      <c r="S27" s="4024" t="s">
        <v>29</v>
      </c>
      <c r="T27" s="4024"/>
      <c r="U27" s="1296"/>
      <c r="V27" s="4026" t="str">
        <f>IF(TITLE_NAME_OR_PR_CHANGE="",IF(TITLE_NAME_OR_PR="","",TITLE_NAME_OR_PR),TITLE_NAME_OR_PR_CHANGE)</f>
        <v/>
      </c>
      <c r="W27" s="4026"/>
      <c r="X27" s="4026"/>
      <c r="Y27" s="4026"/>
      <c r="Z27" s="4026"/>
      <c r="AA27" s="4026"/>
      <c r="AB27" s="4026"/>
      <c r="AC27" s="4026"/>
      <c r="AD27" s="4026"/>
      <c r="AE27" s="4026"/>
      <c r="AF27" s="261"/>
      <c r="AG27" s="4026" t="str">
        <f>IF(TITLE_NAME_OR_PR_CHANGE="",IF(TITLE_NAME_OR_PR="","",TITLE_NAME_OR_PR),TITLE_NAME_OR_PR_CHANGE)</f>
        <v/>
      </c>
      <c r="AH27" s="4026"/>
      <c r="AI27" s="4026"/>
      <c r="AJ27" s="4026"/>
      <c r="AK27" s="4026"/>
      <c r="AL27" s="4026"/>
      <c r="AM27" s="4026"/>
      <c r="AN27" s="4026"/>
      <c r="AO27" s="4026"/>
      <c r="AP27" s="4026"/>
      <c r="AQ27" s="261"/>
      <c r="AR27" s="261"/>
      <c r="AS27" s="215"/>
      <c r="AT27" s="302"/>
      <c r="AU27" s="302"/>
      <c r="AV27" s="302"/>
      <c r="AW27" s="302"/>
      <c r="AX27" s="302"/>
      <c r="AY27" s="352">
        <v>0</v>
      </c>
    </row>
    <row r="28" spans="1:51" s="1748" customFormat="1" ht="18.75" hidden="1" customHeight="1">
      <c r="A28" s="1292"/>
      <c r="B28" s="1292"/>
      <c r="C28" s="1292"/>
      <c r="D28" s="1292"/>
      <c r="E28" s="1292"/>
      <c r="F28" s="1292"/>
      <c r="G28" s="1292"/>
      <c r="H28" s="1292"/>
      <c r="I28" s="1292"/>
      <c r="J28" s="1292"/>
      <c r="K28" s="1292"/>
      <c r="L28" s="1293"/>
      <c r="M28" s="1292"/>
      <c r="N28" s="1292"/>
      <c r="O28" s="1292"/>
      <c r="S28" s="4024" t="s">
        <v>628</v>
      </c>
      <c r="T28" s="4024"/>
      <c r="U28" s="1296"/>
      <c r="V28" s="4025">
        <f>IF(TITLE_DATE_PR_CHANGE="",IF(TITLE_DATE_PR="","",TITLE_DATE_PR),TITLE_DATE_PR_CHANGE)</f>
        <v>45765</v>
      </c>
      <c r="W28" s="4025"/>
      <c r="X28" s="4025"/>
      <c r="Y28" s="4025"/>
      <c r="Z28" s="4025"/>
      <c r="AA28" s="4025"/>
      <c r="AB28" s="4025"/>
      <c r="AC28" s="4025"/>
      <c r="AD28" s="4025"/>
      <c r="AE28" s="4025"/>
      <c r="AF28" s="261"/>
      <c r="AG28" s="4025">
        <f>IF(TITLE_DATE_PR_CHANGE="",IF(TITLE_DATE_PR="","",TITLE_DATE_PR),TITLE_DATE_PR_CHANGE)</f>
        <v>45765</v>
      </c>
      <c r="AH28" s="4025"/>
      <c r="AI28" s="4025"/>
      <c r="AJ28" s="4025"/>
      <c r="AK28" s="4025"/>
      <c r="AL28" s="4025"/>
      <c r="AM28" s="4025"/>
      <c r="AN28" s="4025"/>
      <c r="AO28" s="4025"/>
      <c r="AP28" s="4025"/>
      <c r="AQ28" s="261"/>
      <c r="AR28" s="261"/>
      <c r="AS28" s="215"/>
      <c r="AT28" s="302"/>
      <c r="AU28" s="302"/>
      <c r="AV28" s="302"/>
      <c r="AW28" s="302"/>
      <c r="AX28" s="302"/>
      <c r="AY28" s="352">
        <v>0</v>
      </c>
    </row>
    <row r="29" spans="1:51" s="1748" customFormat="1" ht="18.75" hidden="1" customHeight="1">
      <c r="A29" s="1292"/>
      <c r="B29" s="1292"/>
      <c r="C29" s="1292"/>
      <c r="D29" s="1292"/>
      <c r="E29" s="1292"/>
      <c r="F29" s="1292"/>
      <c r="G29" s="1292"/>
      <c r="H29" s="1292"/>
      <c r="I29" s="1292"/>
      <c r="J29" s="1292"/>
      <c r="K29" s="1292"/>
      <c r="L29" s="1293"/>
      <c r="M29" s="1292"/>
      <c r="N29" s="1292"/>
      <c r="O29" s="1292"/>
      <c r="S29" s="4024" t="s">
        <v>629</v>
      </c>
      <c r="T29" s="4024"/>
      <c r="U29" s="1296"/>
      <c r="V29" s="4026" t="str">
        <f>IF(TITLE_NUMBER_PR_CHANGE="",IF(TITLE_NUMBER_PR="","",TITLE_NUMBER_PR),TITLE_NUMBER_PR_CHANGE)</f>
        <v>917</v>
      </c>
      <c r="W29" s="4026"/>
      <c r="X29" s="4026"/>
      <c r="Y29" s="4026"/>
      <c r="Z29" s="4026"/>
      <c r="AA29" s="4026"/>
      <c r="AB29" s="4026"/>
      <c r="AC29" s="4026"/>
      <c r="AD29" s="4026"/>
      <c r="AE29" s="4026"/>
      <c r="AF29" s="261"/>
      <c r="AG29" s="4026" t="str">
        <f>IF(TITLE_NUMBER_PR_CHANGE="",IF(TITLE_NUMBER_PR="","",TITLE_NUMBER_PR),TITLE_NUMBER_PR_CHANGE)</f>
        <v>917</v>
      </c>
      <c r="AH29" s="4026"/>
      <c r="AI29" s="4026"/>
      <c r="AJ29" s="4026"/>
      <c r="AK29" s="4026"/>
      <c r="AL29" s="4026"/>
      <c r="AM29" s="4026"/>
      <c r="AN29" s="4026"/>
      <c r="AO29" s="4026"/>
      <c r="AP29" s="4026"/>
      <c r="AQ29" s="261"/>
      <c r="AR29" s="261"/>
      <c r="AS29" s="215"/>
      <c r="AT29" s="302"/>
      <c r="AU29" s="302"/>
      <c r="AV29" s="302"/>
      <c r="AW29" s="302"/>
      <c r="AX29" s="302"/>
      <c r="AY29" s="352">
        <v>0</v>
      </c>
    </row>
    <row r="30" spans="1:51" s="1748" customFormat="1" ht="18.75" hidden="1" customHeight="1">
      <c r="A30" s="1292"/>
      <c r="B30" s="1292"/>
      <c r="C30" s="1292"/>
      <c r="D30" s="1292"/>
      <c r="E30" s="1292"/>
      <c r="F30" s="1292"/>
      <c r="G30" s="1292"/>
      <c r="H30" s="1292"/>
      <c r="I30" s="1292"/>
      <c r="J30" s="1292"/>
      <c r="K30" s="1292"/>
      <c r="L30" s="1293"/>
      <c r="M30" s="1292"/>
      <c r="N30" s="1292"/>
      <c r="O30" s="1292"/>
      <c r="S30" s="4024" t="s">
        <v>30</v>
      </c>
      <c r="T30" s="4024"/>
      <c r="U30" s="1296"/>
      <c r="V30" s="4026" t="str">
        <f>IF(TITLE_IST_PUB_CHANGE="",IF(TITLE_IST_PUB="","",TITLE_IST_PUB),TITLE_IST_PUB_CHANGE)</f>
        <v/>
      </c>
      <c r="W30" s="4026"/>
      <c r="X30" s="4026"/>
      <c r="Y30" s="4026"/>
      <c r="Z30" s="4026"/>
      <c r="AA30" s="4026"/>
      <c r="AB30" s="4026"/>
      <c r="AC30" s="4026"/>
      <c r="AD30" s="4026"/>
      <c r="AE30" s="4026"/>
      <c r="AF30" s="261"/>
      <c r="AG30" s="4026" t="str">
        <f>IF(TITLE_IST_PUB_CHANGE="",IF(TITLE_IST_PUB="","",TITLE_IST_PUB),TITLE_IST_PUB_CHANGE)</f>
        <v/>
      </c>
      <c r="AH30" s="4026"/>
      <c r="AI30" s="4026"/>
      <c r="AJ30" s="4026"/>
      <c r="AK30" s="4026"/>
      <c r="AL30" s="4026"/>
      <c r="AM30" s="4026"/>
      <c r="AN30" s="4026"/>
      <c r="AO30" s="4026"/>
      <c r="AP30" s="4026"/>
      <c r="AQ30" s="261"/>
      <c r="AR30" s="261"/>
      <c r="AS30" s="215"/>
      <c r="AT30" s="302"/>
      <c r="AU30" s="302"/>
      <c r="AV30" s="302"/>
      <c r="AW30" s="302"/>
      <c r="AX30" s="302"/>
      <c r="AY30" s="352">
        <v>0</v>
      </c>
    </row>
    <row r="31" spans="1:51" ht="14.25" customHeight="1">
      <c r="Q31" s="310"/>
      <c r="R31" s="310"/>
      <c r="S31" s="1199"/>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9">
        <v>0</v>
      </c>
    </row>
    <row r="32" spans="1:51" s="1748" customFormat="1" ht="18.75" customHeight="1">
      <c r="A32" s="1292"/>
      <c r="B32" s="1292"/>
      <c r="C32" s="1292"/>
      <c r="D32" s="1292"/>
      <c r="E32" s="1292"/>
      <c r="F32" s="1292"/>
      <c r="G32" s="1292"/>
      <c r="H32" s="1292"/>
      <c r="I32" s="1292"/>
      <c r="J32" s="1292"/>
      <c r="K32" s="1292"/>
      <c r="L32" s="1293"/>
      <c r="M32" s="1292"/>
      <c r="N32" s="1292"/>
      <c r="O32" s="1292"/>
      <c r="S32" s="4024" t="s">
        <v>630</v>
      </c>
      <c r="T32" s="4024"/>
      <c r="U32" s="1296"/>
      <c r="V32" s="4025">
        <f>IF(TITLE_DATE_PR_CHANGE="",IF(TITLE_DATE_PR="","",TITLE_DATE_PR),TITLE_DATE_PR_CHANGE)</f>
        <v>45765</v>
      </c>
      <c r="W32" s="4025"/>
      <c r="X32" s="4025"/>
      <c r="Y32" s="4025"/>
      <c r="Z32" s="4025"/>
      <c r="AA32" s="4025"/>
      <c r="AB32" s="4025"/>
      <c r="AC32" s="4025"/>
      <c r="AD32" s="4025"/>
      <c r="AE32" s="4025"/>
      <c r="AF32" s="261"/>
      <c r="AG32" s="4025">
        <f>IF(TITLE_DATE_PR_CHANGE="",IF(TITLE_DATE_PR="","",TITLE_DATE_PR),TITLE_DATE_PR_CHANGE)</f>
        <v>45765</v>
      </c>
      <c r="AH32" s="4025"/>
      <c r="AI32" s="4025"/>
      <c r="AJ32" s="4025"/>
      <c r="AK32" s="4025"/>
      <c r="AL32" s="4025"/>
      <c r="AM32" s="4025"/>
      <c r="AN32" s="4025"/>
      <c r="AO32" s="4025"/>
      <c r="AP32" s="4025"/>
      <c r="AQ32" s="261"/>
      <c r="AR32" s="261"/>
      <c r="AS32" s="215"/>
      <c r="AT32" s="302"/>
      <c r="AU32" s="302"/>
      <c r="AV32" s="302"/>
      <c r="AW32" s="302"/>
      <c r="AX32" s="302"/>
      <c r="AY32" s="352">
        <v>0</v>
      </c>
    </row>
    <row r="33" spans="1:51" s="1748" customFormat="1" ht="18.75" customHeight="1">
      <c r="A33" s="1292"/>
      <c r="B33" s="1292"/>
      <c r="C33" s="1292"/>
      <c r="D33" s="1292"/>
      <c r="E33" s="1292"/>
      <c r="F33" s="1292"/>
      <c r="G33" s="1292"/>
      <c r="H33" s="1292"/>
      <c r="I33" s="1292"/>
      <c r="J33" s="1292"/>
      <c r="K33" s="1292"/>
      <c r="L33" s="1293"/>
      <c r="M33" s="1292"/>
      <c r="N33" s="1292"/>
      <c r="O33" s="1292"/>
      <c r="S33" s="4024" t="s">
        <v>631</v>
      </c>
      <c r="T33" s="4024"/>
      <c r="U33" s="1296"/>
      <c r="V33" s="4026" t="str">
        <f>IF(TITLE_NUMBER_PR_CHANGE="",IF(TITLE_NUMBER_PR="","",TITLE_NUMBER_PR),TITLE_NUMBER_PR_CHANGE)</f>
        <v>917</v>
      </c>
      <c r="W33" s="4026"/>
      <c r="X33" s="4026"/>
      <c r="Y33" s="4026"/>
      <c r="Z33" s="4026"/>
      <c r="AA33" s="4026"/>
      <c r="AB33" s="4026"/>
      <c r="AC33" s="4026"/>
      <c r="AD33" s="4026"/>
      <c r="AE33" s="4026"/>
      <c r="AF33" s="261"/>
      <c r="AG33" s="4026" t="str">
        <f>IF(TITLE_NUMBER_PR_CHANGE="",IF(TITLE_NUMBER_PR="","",TITLE_NUMBER_PR),TITLE_NUMBER_PR_CHANGE)</f>
        <v>917</v>
      </c>
      <c r="AH33" s="4026"/>
      <c r="AI33" s="4026"/>
      <c r="AJ33" s="4026"/>
      <c r="AK33" s="4026"/>
      <c r="AL33" s="4026"/>
      <c r="AM33" s="4026"/>
      <c r="AN33" s="4026"/>
      <c r="AO33" s="4026"/>
      <c r="AP33" s="4026"/>
      <c r="AQ33" s="261"/>
      <c r="AR33" s="261"/>
      <c r="AS33" s="215"/>
      <c r="AT33" s="302"/>
      <c r="AU33" s="302"/>
      <c r="AV33" s="302"/>
      <c r="AW33" s="302"/>
      <c r="AX33" s="302"/>
      <c r="AY33" s="352">
        <v>0</v>
      </c>
    </row>
    <row r="34" spans="1:51" s="1748" customFormat="1" ht="1.1499999999999999" customHeight="1">
      <c r="A34" s="1292"/>
      <c r="B34" s="1292"/>
      <c r="C34" s="1292"/>
      <c r="D34" s="1292"/>
      <c r="E34" s="1292"/>
      <c r="F34" s="1292"/>
      <c r="G34" s="1292"/>
      <c r="H34" s="1292"/>
      <c r="I34" s="1292"/>
      <c r="J34" s="1292"/>
      <c r="K34" s="1292"/>
      <c r="L34" s="1293"/>
      <c r="M34" s="1292"/>
      <c r="N34" s="1292"/>
      <c r="O34" s="1292"/>
      <c r="S34" s="258"/>
      <c r="T34" s="258"/>
      <c r="U34" s="1412"/>
      <c r="V34" s="261"/>
      <c r="W34" s="1559"/>
      <c r="X34" s="1559"/>
      <c r="Y34" s="1559"/>
      <c r="Z34" s="1559"/>
      <c r="AA34" s="1559"/>
      <c r="AB34" s="261"/>
      <c r="AC34" s="261"/>
      <c r="AD34" s="261"/>
      <c r="AE34" s="261"/>
      <c r="AF34" s="213" t="s">
        <v>632</v>
      </c>
      <c r="AG34" s="261"/>
      <c r="AH34" s="1559"/>
      <c r="AI34" s="1559"/>
      <c r="AJ34" s="1559"/>
      <c r="AK34" s="1559"/>
      <c r="AL34" s="1559"/>
      <c r="AM34" s="261"/>
      <c r="AN34" s="261"/>
      <c r="AO34" s="261"/>
      <c r="AP34" s="261"/>
      <c r="AQ34" s="213" t="s">
        <v>632</v>
      </c>
      <c r="AT34" s="302"/>
      <c r="AU34" s="302"/>
      <c r="AV34" s="302"/>
      <c r="AW34" s="302"/>
      <c r="AX34" s="302"/>
      <c r="AY34" s="352">
        <v>1</v>
      </c>
    </row>
    <row r="35" spans="1:51" ht="14.65" customHeight="1">
      <c r="Q35" s="310"/>
      <c r="R35" s="310"/>
      <c r="S35" s="1199"/>
      <c r="T35" s="297"/>
      <c r="U35" s="1168"/>
      <c r="V35" s="4045"/>
      <c r="W35" s="4045"/>
      <c r="X35" s="4045"/>
      <c r="Y35" s="4045"/>
      <c r="Z35" s="4045"/>
      <c r="AA35" s="4045"/>
      <c r="AB35" s="4045"/>
      <c r="AC35" s="4045"/>
      <c r="AD35" s="4045"/>
      <c r="AE35" s="4045"/>
      <c r="AF35" s="4045"/>
      <c r="AG35" s="4045"/>
      <c r="AH35" s="4045"/>
      <c r="AI35" s="4045"/>
      <c r="AJ35" s="4045"/>
      <c r="AK35" s="4045"/>
      <c r="AL35" s="4045"/>
      <c r="AM35" s="4045"/>
      <c r="AN35" s="4045"/>
      <c r="AO35" s="4045"/>
      <c r="AP35" s="4045"/>
      <c r="AQ35" s="4045"/>
      <c r="AY35" s="1079">
        <v>14</v>
      </c>
    </row>
    <row r="36" spans="1:51" ht="14.65" customHeight="1">
      <c r="Q36" s="310"/>
      <c r="R36" s="310"/>
      <c r="S36" s="3889" t="s">
        <v>508</v>
      </c>
      <c r="T36" s="3889"/>
      <c r="U36" s="3889"/>
      <c r="V36" s="3889"/>
      <c r="W36" s="3889"/>
      <c r="X36" s="3889"/>
      <c r="Y36" s="3889"/>
      <c r="Z36" s="3889"/>
      <c r="AA36" s="3889"/>
      <c r="AB36" s="3889"/>
      <c r="AC36" s="3889"/>
      <c r="AD36" s="3889"/>
      <c r="AE36" s="3889"/>
      <c r="AF36" s="3889"/>
      <c r="AG36" s="3889"/>
      <c r="AH36" s="3889"/>
      <c r="AI36" s="3889"/>
      <c r="AJ36" s="3889"/>
      <c r="AK36" s="3889"/>
      <c r="AL36" s="3889"/>
      <c r="AM36" s="3889"/>
      <c r="AN36" s="3889"/>
      <c r="AO36" s="3889"/>
      <c r="AP36" s="3889"/>
      <c r="AQ36" s="3889"/>
      <c r="AR36" s="3889"/>
      <c r="AS36" s="3889" t="s">
        <v>509</v>
      </c>
      <c r="AY36" s="1079">
        <v>14</v>
      </c>
    </row>
    <row r="37" spans="1:51" ht="14.65" customHeight="1">
      <c r="Q37" s="310"/>
      <c r="R37" s="310"/>
      <c r="S37" s="4046" t="s">
        <v>75</v>
      </c>
      <c r="T37" s="3995" t="s">
        <v>633</v>
      </c>
      <c r="U37" s="236"/>
      <c r="V37" s="4047" t="s">
        <v>634</v>
      </c>
      <c r="W37" s="4048"/>
      <c r="X37" s="4048"/>
      <c r="Y37" s="4048"/>
      <c r="Z37" s="4048"/>
      <c r="AA37" s="4048"/>
      <c r="AB37" s="4048"/>
      <c r="AC37" s="4048"/>
      <c r="AD37" s="4048"/>
      <c r="AE37" s="4049"/>
      <c r="AF37" s="4050" t="s">
        <v>635</v>
      </c>
      <c r="AG37" s="4047" t="s">
        <v>634</v>
      </c>
      <c r="AH37" s="4048"/>
      <c r="AI37" s="4048"/>
      <c r="AJ37" s="4048"/>
      <c r="AK37" s="4048"/>
      <c r="AL37" s="4048"/>
      <c r="AM37" s="4048"/>
      <c r="AN37" s="4048"/>
      <c r="AO37" s="4048"/>
      <c r="AP37" s="4049"/>
      <c r="AQ37" s="4050" t="s">
        <v>636</v>
      </c>
      <c r="AR37" s="4053" t="s">
        <v>637</v>
      </c>
      <c r="AS37" s="3889"/>
      <c r="AY37" s="1079">
        <v>14</v>
      </c>
    </row>
    <row r="38" spans="1:51" s="1559" customFormat="1" ht="19.899999999999999" customHeight="1">
      <c r="A38" s="1290"/>
      <c r="B38" s="1290"/>
      <c r="C38" s="1290"/>
      <c r="D38" s="1290"/>
      <c r="E38" s="1290"/>
      <c r="F38" s="1290"/>
      <c r="G38" s="1290"/>
      <c r="H38" s="1290"/>
      <c r="I38" s="1290"/>
      <c r="J38" s="1290"/>
      <c r="K38" s="1290"/>
      <c r="L38" s="1872"/>
      <c r="M38" s="1286"/>
      <c r="N38" s="1286"/>
      <c r="O38" s="1286"/>
      <c r="P38" s="1873"/>
      <c r="Q38" s="310"/>
      <c r="R38" s="310"/>
      <c r="S38" s="4046"/>
      <c r="T38" s="3995"/>
      <c r="U38" s="958"/>
      <c r="V38" s="3889" t="s">
        <v>741</v>
      </c>
      <c r="W38" s="4117" t="s">
        <v>742</v>
      </c>
      <c r="X38" s="4117"/>
      <c r="Y38" s="4117"/>
      <c r="Z38" s="4117" t="s">
        <v>743</v>
      </c>
      <c r="AA38" s="4117"/>
      <c r="AB38" s="4117"/>
      <c r="AC38" s="3968" t="s">
        <v>641</v>
      </c>
      <c r="AD38" s="4075"/>
      <c r="AE38" s="3969"/>
      <c r="AF38" s="4051"/>
      <c r="AG38" s="3889" t="s">
        <v>741</v>
      </c>
      <c r="AH38" s="4117" t="s">
        <v>742</v>
      </c>
      <c r="AI38" s="4117"/>
      <c r="AJ38" s="4117"/>
      <c r="AK38" s="4117" t="s">
        <v>743</v>
      </c>
      <c r="AL38" s="4117"/>
      <c r="AM38" s="4117"/>
      <c r="AN38" s="3968" t="s">
        <v>641</v>
      </c>
      <c r="AO38" s="4075"/>
      <c r="AP38" s="3969"/>
      <c r="AQ38" s="4051"/>
      <c r="AR38" s="4054"/>
      <c r="AS38" s="3889"/>
      <c r="AT38" s="1560"/>
      <c r="AU38" s="1560"/>
      <c r="AV38" s="1560"/>
      <c r="AW38" s="1560"/>
      <c r="AX38" s="1560"/>
      <c r="AY38" s="1555">
        <v>19</v>
      </c>
    </row>
    <row r="39" spans="1:51" ht="19.899999999999999" customHeight="1">
      <c r="Q39" s="310"/>
      <c r="R39" s="310"/>
      <c r="S39" s="4046"/>
      <c r="T39" s="3995"/>
      <c r="U39" s="958"/>
      <c r="V39" s="3889"/>
      <c r="W39" s="4117" t="s">
        <v>744</v>
      </c>
      <c r="X39" s="4117" t="s">
        <v>745</v>
      </c>
      <c r="Y39" s="4117"/>
      <c r="Z39" s="4117" t="s">
        <v>746</v>
      </c>
      <c r="AA39" s="4117" t="s">
        <v>745</v>
      </c>
      <c r="AB39" s="4117"/>
      <c r="AC39" s="3973"/>
      <c r="AD39" s="4076"/>
      <c r="AE39" s="3974"/>
      <c r="AF39" s="4051"/>
      <c r="AG39" s="3889"/>
      <c r="AH39" s="4117" t="s">
        <v>744</v>
      </c>
      <c r="AI39" s="4117" t="s">
        <v>745</v>
      </c>
      <c r="AJ39" s="4117"/>
      <c r="AK39" s="4117" t="s">
        <v>746</v>
      </c>
      <c r="AL39" s="4117" t="s">
        <v>745</v>
      </c>
      <c r="AM39" s="4117"/>
      <c r="AN39" s="3973"/>
      <c r="AO39" s="4076"/>
      <c r="AP39" s="3974"/>
      <c r="AQ39" s="4051"/>
      <c r="AR39" s="4054"/>
      <c r="AS39" s="3889"/>
      <c r="AY39" s="1079">
        <v>19</v>
      </c>
    </row>
    <row r="40" spans="1:51" ht="61.9" customHeight="1">
      <c r="A40" s="1294"/>
      <c r="B40" s="1294" t="s">
        <v>207</v>
      </c>
      <c r="C40" s="1294" t="s">
        <v>208</v>
      </c>
      <c r="D40" s="1294" t="s">
        <v>209</v>
      </c>
      <c r="E40" s="1288" t="s">
        <v>642</v>
      </c>
      <c r="F40" s="1288" t="s">
        <v>643</v>
      </c>
      <c r="G40" s="1288" t="s">
        <v>644</v>
      </c>
      <c r="H40" s="1288"/>
      <c r="I40" s="1288" t="s">
        <v>699</v>
      </c>
      <c r="J40" s="1288" t="s">
        <v>647</v>
      </c>
      <c r="K40" s="1288" t="s">
        <v>700</v>
      </c>
      <c r="L40" s="1288" t="s">
        <v>623</v>
      </c>
      <c r="Q40" s="310"/>
      <c r="R40" s="310"/>
      <c r="S40" s="4046"/>
      <c r="T40" s="3995"/>
      <c r="U40" s="237"/>
      <c r="V40" s="3889"/>
      <c r="W40" s="4117"/>
      <c r="X40" s="1875" t="s">
        <v>747</v>
      </c>
      <c r="Y40" s="1875" t="s">
        <v>748</v>
      </c>
      <c r="Z40" s="4117"/>
      <c r="AA40" s="1875" t="s">
        <v>749</v>
      </c>
      <c r="AB40" s="1875" t="s">
        <v>750</v>
      </c>
      <c r="AC40" s="1413" t="s">
        <v>651</v>
      </c>
      <c r="AD40" s="4000" t="s">
        <v>652</v>
      </c>
      <c r="AE40" s="4013"/>
      <c r="AF40" s="4052"/>
      <c r="AG40" s="3889"/>
      <c r="AH40" s="4117"/>
      <c r="AI40" s="1875" t="s">
        <v>747</v>
      </c>
      <c r="AJ40" s="1875" t="s">
        <v>748</v>
      </c>
      <c r="AK40" s="4117"/>
      <c r="AL40" s="1875" t="s">
        <v>749</v>
      </c>
      <c r="AM40" s="1875" t="s">
        <v>750</v>
      </c>
      <c r="AN40" s="1413" t="s">
        <v>651</v>
      </c>
      <c r="AO40" s="4000" t="s">
        <v>652</v>
      </c>
      <c r="AP40" s="4013"/>
      <c r="AQ40" s="4052"/>
      <c r="AR40" s="4055"/>
      <c r="AS40" s="3889"/>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184</v>
      </c>
      <c r="T41" s="1179" t="s">
        <v>89</v>
      </c>
      <c r="U41" s="1169" t="str">
        <f ca="1">OFFSET(U41,0,-1)</f>
        <v>2</v>
      </c>
      <c r="V41" s="1406">
        <f ca="1">OFFSET(V41,0,-1)+1</f>
        <v>3</v>
      </c>
      <c r="W41" s="1871"/>
      <c r="X41" s="1871"/>
      <c r="Y41" s="1871"/>
      <c r="Z41" s="1871"/>
      <c r="AA41" s="1871"/>
      <c r="AB41" s="1406">
        <f ca="1">OFFSET(AB41,0,-1)+1</f>
        <v>1</v>
      </c>
      <c r="AC41" s="1406">
        <f ca="1">OFFSET(AC41,0,-1)+1</f>
        <v>2</v>
      </c>
      <c r="AD41" s="4044">
        <f ca="1">OFFSET(AD41,0,-1)+1</f>
        <v>3</v>
      </c>
      <c r="AE41" s="4044"/>
      <c r="AF41" s="1406">
        <f ca="1">OFFSET(AF41,0,-2)+1</f>
        <v>4</v>
      </c>
      <c r="AG41" s="1406">
        <f ca="1">OFFSET(AG41,0,-1)+1</f>
        <v>5</v>
      </c>
      <c r="AH41" s="1871"/>
      <c r="AI41" s="1871"/>
      <c r="AJ41" s="1871"/>
      <c r="AK41" s="1871"/>
      <c r="AL41" s="1871"/>
      <c r="AM41" s="1406">
        <f ca="1">OFFSET(AM41,0,-1)+1</f>
        <v>1</v>
      </c>
      <c r="AN41" s="1406">
        <f ca="1">OFFSET(AN41,0,-1)+1</f>
        <v>2</v>
      </c>
      <c r="AO41" s="4044">
        <f ca="1">OFFSET(AO41,0,-1)+1</f>
        <v>3</v>
      </c>
      <c r="AP41" s="4044"/>
      <c r="AQ41" s="1406">
        <f ca="1">OFFSET(AQ41,0,-2)+1</f>
        <v>4</v>
      </c>
      <c r="AR41" s="1169">
        <f ca="1">OFFSET(AR41,0,-1)</f>
        <v>4</v>
      </c>
      <c r="AS41" s="1406">
        <f ca="1">OFFSET(AS41,0,-1)+1</f>
        <v>5</v>
      </c>
      <c r="AT41" s="445"/>
      <c r="AU41" s="445"/>
      <c r="AV41" s="445"/>
      <c r="AW41" s="445"/>
      <c r="AX41" s="445"/>
      <c r="AY41" s="430">
        <v>0</v>
      </c>
    </row>
    <row r="42" spans="1:51" ht="24" customHeight="1">
      <c r="A42" s="1287" t="s">
        <v>464</v>
      </c>
      <c r="B42" s="1287"/>
      <c r="C42" s="1287"/>
      <c r="D42" s="1287"/>
      <c r="E42" s="4033">
        <v>1</v>
      </c>
      <c r="F42" s="1287"/>
      <c r="G42" s="1287"/>
      <c r="H42" s="1287"/>
      <c r="I42" s="1287"/>
      <c r="J42" s="1287"/>
      <c r="K42" s="1287"/>
      <c r="L42" s="1288"/>
      <c r="M42" s="1289"/>
      <c r="N42" s="1289"/>
      <c r="O42" s="1289"/>
      <c r="P42" s="295"/>
      <c r="Q42" s="294"/>
      <c r="R42" s="289"/>
      <c r="S42" s="1417">
        <f>INDEX(PT_DIFFERENTIATION_NUM_NTAR,MATCH(A42,PT_DIFFERENTIATION_NTAR_ID,0))</f>
        <v>0</v>
      </c>
      <c r="T42" s="233" t="s">
        <v>195</v>
      </c>
      <c r="U42" s="235"/>
      <c r="V42" s="4027"/>
      <c r="W42" s="4028"/>
      <c r="X42" s="4028"/>
      <c r="Y42" s="4028"/>
      <c r="Z42" s="4028"/>
      <c r="AA42" s="4028"/>
      <c r="AB42" s="4028"/>
      <c r="AC42" s="4028"/>
      <c r="AD42" s="4028"/>
      <c r="AE42" s="4028"/>
      <c r="AF42" s="4029"/>
      <c r="AG42" s="4027" t="str">
        <f>INDEX(PT_DIFFERENTIATION_NTAR,MATCH(A42,PT_DIFFERENTIATION_NTAR_ID,0))</f>
        <v/>
      </c>
      <c r="AH42" s="4028"/>
      <c r="AI42" s="4028"/>
      <c r="AJ42" s="4028"/>
      <c r="AK42" s="4028"/>
      <c r="AL42" s="4028"/>
      <c r="AM42" s="4028"/>
      <c r="AN42" s="4028"/>
      <c r="AO42" s="4028"/>
      <c r="AP42" s="4028"/>
      <c r="AQ42" s="4028"/>
      <c r="AR42" s="4029"/>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9">
        <v>23</v>
      </c>
    </row>
    <row r="43" spans="1:51" ht="24" customHeight="1">
      <c r="A43" s="1287" t="s">
        <v>464</v>
      </c>
      <c r="B43" s="1287" t="s">
        <v>465</v>
      </c>
      <c r="C43" s="1287"/>
      <c r="D43" s="1287"/>
      <c r="E43" s="4034"/>
      <c r="F43" s="4033">
        <v>1</v>
      </c>
      <c r="G43" s="1287"/>
      <c r="H43" s="1287"/>
      <c r="I43" s="1287"/>
      <c r="J43" s="1287"/>
      <c r="K43" s="1287"/>
      <c r="L43" s="1288"/>
      <c r="M43" s="1289"/>
      <c r="N43" s="1289"/>
      <c r="O43" s="1289"/>
      <c r="P43" s="1411"/>
      <c r="Q43" s="286"/>
      <c r="R43" s="287"/>
      <c r="S43" s="1417" t="str">
        <f>INDEX(PT_DIFFERENTIATION_NUM_TER,MATCH(B43,PT_DIFFERENTIATION_TER_ID,0))</f>
        <v>.</v>
      </c>
      <c r="T43" s="243" t="s">
        <v>605</v>
      </c>
      <c r="U43" s="235"/>
      <c r="V43" s="4027"/>
      <c r="W43" s="4028"/>
      <c r="X43" s="4028"/>
      <c r="Y43" s="4028"/>
      <c r="Z43" s="4028"/>
      <c r="AA43" s="4028"/>
      <c r="AB43" s="4028"/>
      <c r="AC43" s="4028"/>
      <c r="AD43" s="4028"/>
      <c r="AE43" s="4028"/>
      <c r="AF43" s="4029"/>
      <c r="AG43" s="4027" t="str">
        <f>INDEX(PT_DIFFERENTIATION_TER,MATCH(B43,PT_DIFFERENTIATION_TER_ID,0))</f>
        <v/>
      </c>
      <c r="AH43" s="4028"/>
      <c r="AI43" s="4028"/>
      <c r="AJ43" s="4028"/>
      <c r="AK43" s="4028"/>
      <c r="AL43" s="4028"/>
      <c r="AM43" s="4028"/>
      <c r="AN43" s="4028"/>
      <c r="AO43" s="4028"/>
      <c r="AP43" s="4028"/>
      <c r="AQ43" s="4028"/>
      <c r="AR43" s="4029"/>
      <c r="AS43" s="1182" t="s">
        <v>606</v>
      </c>
      <c r="AU43" s="434"/>
      <c r="AV43" s="434" t="str">
        <f t="shared" si="1"/>
        <v>Территория действия тарифа</v>
      </c>
      <c r="AW43" s="434"/>
      <c r="AX43" s="434"/>
      <c r="AY43" s="1079">
        <v>23</v>
      </c>
    </row>
    <row r="44" spans="1:51" ht="24" customHeight="1">
      <c r="A44" s="1287" t="s">
        <v>464</v>
      </c>
      <c r="B44" s="1287" t="s">
        <v>465</v>
      </c>
      <c r="C44" s="1287" t="s">
        <v>466</v>
      </c>
      <c r="D44" s="1287"/>
      <c r="E44" s="4034"/>
      <c r="F44" s="4034"/>
      <c r="G44" s="4033">
        <v>1</v>
      </c>
      <c r="H44" s="1287"/>
      <c r="I44" s="1287"/>
      <c r="J44" s="1287"/>
      <c r="K44" s="1287"/>
      <c r="L44" s="1288"/>
      <c r="M44" s="1289"/>
      <c r="N44" s="1289"/>
      <c r="O44" s="1289"/>
      <c r="P44" s="288"/>
      <c r="Q44" s="286"/>
      <c r="R44" s="287"/>
      <c r="S44" s="1417" t="str">
        <f>INDEX(PT_DIFFERENTIATION_NUM_CS,MATCH(C44,PT_DIFFERENTIATION_CS_ID,0))</f>
        <v>..</v>
      </c>
      <c r="T44" s="244" t="s">
        <v>739</v>
      </c>
      <c r="U44" s="235"/>
      <c r="V44" s="4027"/>
      <c r="W44" s="4028"/>
      <c r="X44" s="4028"/>
      <c r="Y44" s="4028"/>
      <c r="Z44" s="4028"/>
      <c r="AA44" s="4028"/>
      <c r="AB44" s="4028"/>
      <c r="AC44" s="4028"/>
      <c r="AD44" s="4028"/>
      <c r="AE44" s="4028"/>
      <c r="AF44" s="4029"/>
      <c r="AG44" s="4027" t="str">
        <f>INDEX(PT_DIFFERENTIATION_CS,MATCH(C44,PT_DIFFERENTIATION_CS_ID,0))</f>
        <v/>
      </c>
      <c r="AH44" s="4028"/>
      <c r="AI44" s="4028"/>
      <c r="AJ44" s="4028"/>
      <c r="AK44" s="4028"/>
      <c r="AL44" s="4028"/>
      <c r="AM44" s="4028"/>
      <c r="AN44" s="4028"/>
      <c r="AO44" s="4028"/>
      <c r="AP44" s="4028"/>
      <c r="AQ44" s="4028"/>
      <c r="AR44" s="4029"/>
      <c r="AS44" s="1182" t="s">
        <v>740</v>
      </c>
      <c r="AU44" s="434"/>
      <c r="AV44" s="434" t="str">
        <f t="shared" si="1"/>
        <v>Наименование централизованной системы горячего водоснабжения</v>
      </c>
      <c r="AW44" s="434"/>
      <c r="AX44" s="434"/>
      <c r="AY44" s="1079">
        <v>23</v>
      </c>
    </row>
    <row r="45" spans="1:51" ht="24" customHeight="1">
      <c r="A45" s="1287" t="s">
        <v>464</v>
      </c>
      <c r="B45" s="1287" t="s">
        <v>465</v>
      </c>
      <c r="C45" s="1287" t="s">
        <v>466</v>
      </c>
      <c r="D45" s="1287" t="s">
        <v>752</v>
      </c>
      <c r="E45" s="4034"/>
      <c r="F45" s="4034"/>
      <c r="G45" s="4034"/>
      <c r="H45" s="4034"/>
      <c r="I45" s="4035" t="str">
        <f>S44&amp;".1"</f>
        <v>...1</v>
      </c>
      <c r="J45" s="1287"/>
      <c r="K45" s="1287"/>
      <c r="L45" s="1288"/>
      <c r="P45" s="4037">
        <v>1</v>
      </c>
      <c r="Q45" s="1405"/>
      <c r="R45" s="290"/>
      <c r="S45" s="1417" t="str">
        <f>$I45</f>
        <v>...1</v>
      </c>
      <c r="T45" s="220" t="s">
        <v>692</v>
      </c>
      <c r="U45" s="235"/>
      <c r="V45" s="4101"/>
      <c r="W45" s="4102"/>
      <c r="X45" s="4102"/>
      <c r="Y45" s="4102"/>
      <c r="Z45" s="4102"/>
      <c r="AA45" s="4102"/>
      <c r="AB45" s="4102"/>
      <c r="AC45" s="4102"/>
      <c r="AD45" s="4102"/>
      <c r="AE45" s="4102"/>
      <c r="AF45" s="4103"/>
      <c r="AG45" s="4104"/>
      <c r="AH45" s="4105"/>
      <c r="AI45" s="4105"/>
      <c r="AJ45" s="4105"/>
      <c r="AK45" s="4105"/>
      <c r="AL45" s="4105"/>
      <c r="AM45" s="4105"/>
      <c r="AN45" s="4105"/>
      <c r="AO45" s="4105"/>
      <c r="AP45" s="4105"/>
      <c r="AQ45" s="4105"/>
      <c r="AR45" s="4106"/>
      <c r="AS45" s="1182" t="s">
        <v>693</v>
      </c>
      <c r="AU45" s="434"/>
      <c r="AV45" s="434" t="str">
        <f t="shared" si="1"/>
        <v>Наименование признака дифференциации</v>
      </c>
      <c r="AW45" s="434"/>
      <c r="AX45" s="434"/>
      <c r="AY45" s="1079">
        <v>23</v>
      </c>
    </row>
    <row r="46" spans="1:51" ht="24" customHeight="1">
      <c r="A46" s="1287" t="s">
        <v>464</v>
      </c>
      <c r="B46" s="1287" t="s">
        <v>465</v>
      </c>
      <c r="C46" s="1287" t="s">
        <v>466</v>
      </c>
      <c r="D46" s="1287" t="s">
        <v>752</v>
      </c>
      <c r="E46" s="4034"/>
      <c r="F46" s="4034"/>
      <c r="G46" s="4034"/>
      <c r="H46" s="4034"/>
      <c r="I46" s="4036"/>
      <c r="J46" s="4035" t="str">
        <f>I45&amp;".1"</f>
        <v>...1.1</v>
      </c>
      <c r="K46" s="1287"/>
      <c r="L46" s="1288" t="s">
        <v>614</v>
      </c>
      <c r="P46" s="4037"/>
      <c r="Q46" s="4037">
        <v>1</v>
      </c>
      <c r="R46" s="291"/>
      <c r="S46" s="1417" t="str">
        <f>$J46</f>
        <v>...1.1</v>
      </c>
      <c r="T46" s="221" t="s">
        <v>615</v>
      </c>
      <c r="U46" s="235"/>
      <c r="V46" s="4021"/>
      <c r="W46" s="4022"/>
      <c r="X46" s="4022"/>
      <c r="Y46" s="4022"/>
      <c r="Z46" s="4022"/>
      <c r="AA46" s="4022"/>
      <c r="AB46" s="4022"/>
      <c r="AC46" s="4022"/>
      <c r="AD46" s="4022"/>
      <c r="AE46" s="4022"/>
      <c r="AF46" s="4023"/>
      <c r="AG46" s="4021"/>
      <c r="AH46" s="4022"/>
      <c r="AI46" s="4022"/>
      <c r="AJ46" s="4022"/>
      <c r="AK46" s="4022"/>
      <c r="AL46" s="4022"/>
      <c r="AM46" s="4022"/>
      <c r="AN46" s="4022"/>
      <c r="AO46" s="4022"/>
      <c r="AP46" s="4022"/>
      <c r="AQ46" s="4022"/>
      <c r="AR46" s="4023"/>
      <c r="AS46" s="1231" t="s">
        <v>694</v>
      </c>
      <c r="AU46" s="434"/>
      <c r="AV46" s="434" t="str">
        <f t="shared" si="1"/>
        <v>Группа потребителей</v>
      </c>
      <c r="AW46" s="434"/>
      <c r="AX46" s="434"/>
      <c r="AY46" s="1079">
        <v>23</v>
      </c>
    </row>
    <row r="47" spans="1:51" ht="24" customHeight="1">
      <c r="A47" s="1287" t="s">
        <v>464</v>
      </c>
      <c r="B47" s="1287" t="s">
        <v>465</v>
      </c>
      <c r="C47" s="1287" t="s">
        <v>466</v>
      </c>
      <c r="D47" s="1287" t="s">
        <v>752</v>
      </c>
      <c r="E47" s="4034"/>
      <c r="F47" s="4034"/>
      <c r="G47" s="4034"/>
      <c r="H47" s="4034"/>
      <c r="I47" s="4036"/>
      <c r="J47" s="4036"/>
      <c r="K47" s="4035" t="str">
        <f>J46&amp;".1"</f>
        <v>...1.1.1</v>
      </c>
      <c r="L47" s="1288"/>
      <c r="P47" s="4037"/>
      <c r="Q47" s="4037"/>
      <c r="R47" s="291">
        <v>1</v>
      </c>
      <c r="S47" s="1417" t="str">
        <f>$K47</f>
        <v>...1.1.1</v>
      </c>
      <c r="T47" s="1361"/>
      <c r="U47" s="235"/>
      <c r="V47" s="1284"/>
      <c r="W47" s="1284"/>
      <c r="X47" s="1284"/>
      <c r="Y47" s="1284"/>
      <c r="Z47" s="1284"/>
      <c r="AA47" s="1284"/>
      <c r="AB47" s="1285"/>
      <c r="AC47" s="4031"/>
      <c r="AD47" s="4030" t="s">
        <v>53</v>
      </c>
      <c r="AE47" s="4031"/>
      <c r="AF47" s="4030" t="s">
        <v>53</v>
      </c>
      <c r="AG47" s="685"/>
      <c r="AH47" s="685"/>
      <c r="AI47" s="685"/>
      <c r="AJ47" s="685"/>
      <c r="AK47" s="685"/>
      <c r="AL47" s="685"/>
      <c r="AM47" s="1181"/>
      <c r="AN47" s="4038"/>
      <c r="AO47" s="3899" t="s">
        <v>53</v>
      </c>
      <c r="AP47" s="4040"/>
      <c r="AQ47" s="3899" t="s">
        <v>6</v>
      </c>
      <c r="AR47" s="1362"/>
      <c r="AS47" s="41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9">
        <v>23</v>
      </c>
    </row>
    <row r="48" spans="1:51" ht="0" hidden="1" customHeight="1">
      <c r="A48" s="1287" t="s">
        <v>464</v>
      </c>
      <c r="B48" s="1287" t="s">
        <v>465</v>
      </c>
      <c r="C48" s="1287" t="s">
        <v>466</v>
      </c>
      <c r="D48" s="1287" t="s">
        <v>752</v>
      </c>
      <c r="E48" s="4034"/>
      <c r="F48" s="4034"/>
      <c r="G48" s="4034"/>
      <c r="H48" s="4034"/>
      <c r="I48" s="4036"/>
      <c r="J48" s="4036"/>
      <c r="K48" s="4035"/>
      <c r="L48" s="1288"/>
      <c r="P48" s="4037"/>
      <c r="Q48" s="4037"/>
      <c r="R48" s="291"/>
      <c r="S48" s="1414"/>
      <c r="T48" s="235"/>
      <c r="U48" s="235"/>
      <c r="V48" s="1284"/>
      <c r="W48" s="1284"/>
      <c r="X48" s="1284"/>
      <c r="Y48" s="1284"/>
      <c r="Z48" s="1284"/>
      <c r="AA48" s="1284"/>
      <c r="AB48" s="263" t="str">
        <f>AC47&amp;"-"&amp;AE47</f>
        <v>-</v>
      </c>
      <c r="AC48" s="4030"/>
      <c r="AD48" s="4030"/>
      <c r="AE48" s="4030"/>
      <c r="AF48" s="4030"/>
      <c r="AG48" s="260"/>
      <c r="AH48" s="260"/>
      <c r="AI48" s="260"/>
      <c r="AJ48" s="260"/>
      <c r="AK48" s="260"/>
      <c r="AL48" s="260"/>
      <c r="AM48" s="263" t="str">
        <f>AN47&amp;"-"&amp;AP47</f>
        <v>-</v>
      </c>
      <c r="AN48" s="4039"/>
      <c r="AO48" s="3899"/>
      <c r="AP48" s="4041"/>
      <c r="AQ48" s="3899"/>
      <c r="AR48" s="1363"/>
      <c r="AS48" s="4107"/>
      <c r="AU48" s="434"/>
      <c r="AV48" s="434" t="str">
        <f t="shared" si="1"/>
        <v/>
      </c>
      <c r="AW48" s="434"/>
      <c r="AX48" s="434"/>
      <c r="AY48" s="1079">
        <v>0</v>
      </c>
    </row>
    <row r="49" spans="1:51" ht="21" customHeight="1">
      <c r="A49" s="1287" t="s">
        <v>464</v>
      </c>
      <c r="B49" s="1287" t="s">
        <v>465</v>
      </c>
      <c r="C49" s="1287" t="s">
        <v>466</v>
      </c>
      <c r="D49" s="1287" t="s">
        <v>752</v>
      </c>
      <c r="E49" s="4034"/>
      <c r="F49" s="4034"/>
      <c r="G49" s="4034"/>
      <c r="H49" s="4034"/>
      <c r="I49" s="4036"/>
      <c r="J49" s="4035"/>
      <c r="K49" s="1287"/>
      <c r="L49" s="1288"/>
      <c r="P49" s="4037"/>
      <c r="Q49" s="4037"/>
      <c r="R49" s="290"/>
      <c r="S49" s="1202"/>
      <c r="T49" s="222" t="s">
        <v>695</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82" t="s">
        <v>696</v>
      </c>
      <c r="AU49" s="434"/>
      <c r="AV49" s="434" t="str">
        <f t="shared" si="1"/>
        <v>Добавить значение признака дифференциации</v>
      </c>
      <c r="AW49" s="434"/>
      <c r="AX49" s="434"/>
      <c r="AY49" s="1079">
        <v>20</v>
      </c>
    </row>
    <row r="50" spans="1:51" ht="21.95" customHeight="1">
      <c r="A50" s="1287" t="s">
        <v>464</v>
      </c>
      <c r="B50" s="1287" t="s">
        <v>465</v>
      </c>
      <c r="C50" s="1287" t="s">
        <v>466</v>
      </c>
      <c r="D50" s="1287" t="s">
        <v>752</v>
      </c>
      <c r="E50" s="4034"/>
      <c r="F50" s="4034"/>
      <c r="G50" s="4034"/>
      <c r="H50" s="4034"/>
      <c r="I50" s="4035"/>
      <c r="J50" s="1287"/>
      <c r="K50" s="1287"/>
      <c r="L50" s="1288"/>
      <c r="P50" s="4037"/>
      <c r="Q50" s="1405"/>
      <c r="R50" s="290"/>
      <c r="S50" s="1202"/>
      <c r="T50" s="299" t="s">
        <v>620</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64"/>
      <c r="AU50" s="434"/>
      <c r="AV50" s="434" t="str">
        <f t="shared" si="1"/>
        <v>Добавить группу потребителей</v>
      </c>
      <c r="AW50" s="434"/>
      <c r="AX50" s="434"/>
      <c r="AY50" s="1079">
        <v>21</v>
      </c>
    </row>
    <row r="51" spans="1:51" ht="21.95" customHeight="1">
      <c r="A51" s="1287" t="s">
        <v>464</v>
      </c>
      <c r="B51" s="1287" t="s">
        <v>465</v>
      </c>
      <c r="C51" s="1287" t="s">
        <v>466</v>
      </c>
      <c r="D51" s="1287" t="s">
        <v>752</v>
      </c>
      <c r="E51" s="4034"/>
      <c r="F51" s="4034"/>
      <c r="G51" s="4034"/>
      <c r="H51" s="4033"/>
      <c r="I51" s="1287"/>
      <c r="J51" s="1287"/>
      <c r="K51" s="1287"/>
      <c r="L51" s="1288"/>
      <c r="M51" s="1289"/>
      <c r="N51" s="1289"/>
      <c r="O51" s="471"/>
      <c r="P51" s="294"/>
      <c r="Q51" s="309"/>
      <c r="R51" s="289"/>
      <c r="S51" s="1202"/>
      <c r="T51" s="306" t="s">
        <v>697</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9">
        <v>21</v>
      </c>
    </row>
    <row r="52" spans="1:51" s="1566" customFormat="1" ht="0" hidden="1" customHeight="1">
      <c r="A52" s="1267" t="s">
        <v>464</v>
      </c>
      <c r="B52" s="1267" t="s">
        <v>465</v>
      </c>
      <c r="C52" s="1238"/>
      <c r="D52" s="1238"/>
      <c r="E52" s="4034"/>
      <c r="F52" s="4033"/>
      <c r="G52" s="1238"/>
      <c r="H52" s="1238"/>
      <c r="I52" s="1238"/>
      <c r="J52" s="1238"/>
      <c r="K52" s="1238"/>
      <c r="L52" s="1418"/>
      <c r="M52" s="1245"/>
      <c r="N52" s="1245"/>
      <c r="P52" s="1240"/>
      <c r="Q52" s="1241"/>
      <c r="R52" s="1240"/>
      <c r="S52" s="1246"/>
      <c r="T52" s="1249" t="s">
        <v>236</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7"/>
      <c r="AV52" s="717" t="str">
        <f t="shared" si="1"/>
        <v>Добавить централизованную систему для дифференциации</v>
      </c>
      <c r="AW52" s="717"/>
      <c r="AX52" s="717"/>
      <c r="AY52" s="452">
        <v>0</v>
      </c>
    </row>
    <row r="53" spans="1:51" s="1566" customFormat="1" ht="0" hidden="1" customHeight="1">
      <c r="A53" s="1267" t="s">
        <v>464</v>
      </c>
      <c r="B53" s="1267"/>
      <c r="C53" s="1267"/>
      <c r="D53" s="1267"/>
      <c r="E53" s="4033"/>
      <c r="F53" s="1267"/>
      <c r="G53" s="1267"/>
      <c r="H53" s="1267"/>
      <c r="I53" s="1267"/>
      <c r="J53" s="1267"/>
      <c r="K53" s="1267"/>
      <c r="L53" s="1270"/>
      <c r="M53" s="1245"/>
      <c r="N53" s="1245"/>
      <c r="O53" s="452"/>
      <c r="P53" s="314"/>
      <c r="Q53" s="1268"/>
      <c r="R53" s="314"/>
      <c r="S53" s="1246"/>
      <c r="T53" s="1249" t="s">
        <v>286</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4"/>
      <c r="AV53" s="434" t="str">
        <f t="shared" si="1"/>
        <v>Добавить территорию для дифференциации</v>
      </c>
      <c r="AW53" s="434"/>
      <c r="AX53" s="434"/>
      <c r="AY53" s="445">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287</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7"/>
      <c r="AV54" s="717" t="str">
        <f t="shared" si="1"/>
        <v>Добавить наименование тарифа</v>
      </c>
      <c r="AW54" s="717"/>
      <c r="AX54" s="717"/>
      <c r="AY54" s="452">
        <v>0</v>
      </c>
    </row>
    <row r="55" spans="1:51" ht="11.45" customHeight="1">
      <c r="M55" s="1084"/>
      <c r="N55" s="1084"/>
      <c r="O55" s="471"/>
      <c r="P55" s="1079"/>
      <c r="Q55" s="1079"/>
      <c r="R55" s="1079"/>
      <c r="S55" s="1079"/>
      <c r="AT55" s="1079"/>
      <c r="AU55" s="1079"/>
      <c r="AV55" s="1079"/>
      <c r="AW55" s="1079"/>
      <c r="AX55" s="1079"/>
      <c r="AY55" s="1079">
        <v>11</v>
      </c>
    </row>
    <row r="56" spans="1:51" ht="14.65" customHeight="1">
      <c r="O56" s="471"/>
      <c r="S56" s="1177"/>
      <c r="T56" s="4032"/>
      <c r="U56" s="4032"/>
      <c r="V56" s="4032"/>
      <c r="W56" s="4032"/>
      <c r="X56" s="4032"/>
      <c r="Y56" s="4032"/>
      <c r="Z56" s="4032"/>
      <c r="AA56" s="4032"/>
      <c r="AB56" s="4032"/>
      <c r="AC56" s="4032"/>
      <c r="AD56" s="4032"/>
      <c r="AE56" s="4032"/>
      <c r="AF56" s="4032"/>
      <c r="AG56" s="4032"/>
      <c r="AH56" s="4032"/>
      <c r="AI56" s="4032"/>
      <c r="AJ56" s="4032"/>
      <c r="AK56" s="4032"/>
      <c r="AL56" s="4032"/>
      <c r="AM56" s="4032"/>
      <c r="AN56" s="4032"/>
      <c r="AO56" s="4032"/>
      <c r="AP56" s="4032"/>
      <c r="AQ56" s="4032"/>
      <c r="AR56" s="4032"/>
      <c r="AS56" s="4032"/>
      <c r="AY56" s="1079">
        <v>14</v>
      </c>
    </row>
    <row r="57" spans="1:51" ht="14.65" customHeight="1">
      <c r="O57" s="471"/>
      <c r="AY57" s="1079">
        <v>14</v>
      </c>
    </row>
    <row r="58" spans="1:51" ht="14.65" customHeight="1">
      <c r="O58" s="471"/>
      <c r="S58" s="1177"/>
      <c r="T58" s="4032"/>
      <c r="U58" s="4032"/>
      <c r="V58" s="4032"/>
      <c r="W58" s="4032"/>
      <c r="X58" s="4032"/>
      <c r="Y58" s="4032"/>
      <c r="Z58" s="4032"/>
      <c r="AA58" s="4032"/>
      <c r="AB58" s="4032"/>
      <c r="AC58" s="4032"/>
      <c r="AD58" s="4032"/>
      <c r="AE58" s="4032"/>
      <c r="AF58" s="4032"/>
      <c r="AG58" s="4032"/>
      <c r="AH58" s="4032"/>
      <c r="AI58" s="4032"/>
      <c r="AJ58" s="4032"/>
      <c r="AK58" s="4032"/>
      <c r="AL58" s="4032"/>
      <c r="AM58" s="4032"/>
      <c r="AN58" s="4032"/>
      <c r="AO58" s="4032"/>
      <c r="AP58" s="4032"/>
      <c r="AQ58" s="4032"/>
      <c r="AR58" s="4032"/>
      <c r="AS58" s="4032"/>
      <c r="AY58" s="1079">
        <v>14</v>
      </c>
    </row>
    <row r="59" spans="1:51" ht="22.5" hidden="1" customHeight="1">
      <c r="A59" s="1084" t="s">
        <v>69</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79">
        <v>3</v>
      </c>
      <c r="R59" s="279">
        <v>3</v>
      </c>
      <c r="S59" s="515">
        <v>12</v>
      </c>
      <c r="T59" s="1079">
        <v>35</v>
      </c>
      <c r="U59" s="1079">
        <v>0</v>
      </c>
      <c r="V59" s="1079">
        <v>0</v>
      </c>
      <c r="W59" s="1555">
        <v>0</v>
      </c>
      <c r="X59" s="1555">
        <v>0</v>
      </c>
      <c r="Y59" s="1555">
        <v>0</v>
      </c>
      <c r="Z59" s="1555">
        <v>0</v>
      </c>
      <c r="AA59" s="1555">
        <v>0</v>
      </c>
      <c r="AB59" s="1079">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5">
        <v>10</v>
      </c>
      <c r="AU59" s="445">
        <v>10</v>
      </c>
      <c r="AV59" s="445">
        <v>10</v>
      </c>
      <c r="AW59" s="445">
        <v>10</v>
      </c>
      <c r="AX59" s="445">
        <v>10</v>
      </c>
      <c r="AY59" s="1079">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1979" hidden="1" customWidth="1"/>
    <col min="13" max="14" width="12.28515625" style="1672" hidden="1" customWidth="1"/>
    <col min="15" max="15" width="23.42578125" style="1672" hidden="1" customWidth="1"/>
    <col min="16" max="16" width="3.7109375" style="1672" hidden="1" customWidth="1"/>
    <col min="17" max="17" width="3.7109375" style="1295" hidden="1" customWidth="1"/>
    <col min="18" max="18" width="3" style="279" customWidth="1"/>
    <col min="19" max="19" width="12" style="1976"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2"/>
      <c r="Y1" s="262"/>
      <c r="Z1" s="262"/>
      <c r="AW1" s="262"/>
      <c r="AX1" s="262"/>
      <c r="BI1" s="1079" t="s">
        <v>1</v>
      </c>
    </row>
    <row r="2" spans="1:61" ht="21" hidden="1" customHeight="1">
      <c r="A2" s="1287"/>
      <c r="B2" s="1287"/>
      <c r="C2" s="1287"/>
      <c r="D2" s="1287"/>
      <c r="E2" s="4033">
        <v>1</v>
      </c>
      <c r="F2" s="1287"/>
      <c r="G2" s="1287"/>
      <c r="H2" s="1287"/>
      <c r="I2" s="1287"/>
      <c r="J2" s="1287"/>
      <c r="K2" s="1287"/>
      <c r="L2" s="1288"/>
      <c r="M2" s="1289"/>
      <c r="N2" s="1289"/>
      <c r="O2" s="1289"/>
      <c r="P2" s="1333"/>
      <c r="Q2" s="801"/>
      <c r="R2" s="289"/>
      <c r="S2" s="1417" t="e">
        <f>INDEX(PT_DIFFERENTIATION_NUM_NTAR,MATCH(A2,PT_DIFFERENTIATION_NTAR_ID,0))</f>
        <v>#N/A</v>
      </c>
      <c r="T2" s="233" t="s">
        <v>195</v>
      </c>
      <c r="U2" s="235"/>
      <c r="V2" s="4028"/>
      <c r="W2" s="4028"/>
      <c r="X2" s="4028"/>
      <c r="Y2" s="4028"/>
      <c r="Z2" s="4028"/>
      <c r="AA2" s="4028"/>
      <c r="AB2" s="4028"/>
      <c r="AC2" s="4029"/>
      <c r="AD2" s="4027" t="e">
        <f>INDEX(PT_DIFFERENTIATION_NTAR,MATCH(A2,PT_DIFFERENTIATION_NTAR_ID,0))</f>
        <v>#N/A</v>
      </c>
      <c r="AE2" s="4028"/>
      <c r="AF2" s="4028"/>
      <c r="AG2" s="4028"/>
      <c r="AH2" s="4028"/>
      <c r="AI2" s="4028"/>
      <c r="AJ2" s="4028"/>
      <c r="AK2" s="4028"/>
      <c r="AL2" s="4028"/>
      <c r="AM2" s="4028"/>
      <c r="AN2" s="4028"/>
      <c r="AO2" s="4028"/>
      <c r="AP2" s="4028"/>
      <c r="AQ2" s="4028"/>
      <c r="AR2" s="4028"/>
      <c r="AS2" s="4028"/>
      <c r="AT2" s="4028"/>
      <c r="AU2" s="4028"/>
      <c r="AV2" s="4028"/>
      <c r="AW2" s="4028"/>
      <c r="AX2" s="4028"/>
      <c r="AY2" s="4028"/>
      <c r="AZ2" s="4028"/>
      <c r="BA2" s="4028"/>
      <c r="BB2" s="4029"/>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9">
        <v>0</v>
      </c>
    </row>
    <row r="3" spans="1:61" ht="21" hidden="1" customHeight="1">
      <c r="A3" s="1287"/>
      <c r="B3" s="1287"/>
      <c r="C3" s="1287"/>
      <c r="D3" s="1287"/>
      <c r="E3" s="4034"/>
      <c r="F3" s="4033">
        <v>1</v>
      </c>
      <c r="G3" s="1287"/>
      <c r="H3" s="1287"/>
      <c r="I3" s="1287"/>
      <c r="J3" s="1287"/>
      <c r="K3" s="1287"/>
      <c r="L3" s="1288"/>
      <c r="M3" s="1289"/>
      <c r="N3" s="1289"/>
      <c r="O3" s="1289"/>
      <c r="P3" s="1334"/>
      <c r="Q3" s="1335"/>
      <c r="R3" s="287"/>
      <c r="S3" s="1417" t="e">
        <f>INDEX(PT_DIFFERENTIATION_NUM_TER,MATCH(B3,PT_DIFFERENTIATION_TER_ID,0))</f>
        <v>#N/A</v>
      </c>
      <c r="T3" s="243" t="s">
        <v>605</v>
      </c>
      <c r="U3" s="235"/>
      <c r="V3" s="4028"/>
      <c r="W3" s="4028"/>
      <c r="X3" s="4028"/>
      <c r="Y3" s="4028"/>
      <c r="Z3" s="4028"/>
      <c r="AA3" s="4028"/>
      <c r="AB3" s="4028"/>
      <c r="AC3" s="4029"/>
      <c r="AD3" s="4027" t="e">
        <f>INDEX(PT_DIFFERENTIATION_TER,MATCH(B3,PT_DIFFERENTIATION_TER_ID,0))</f>
        <v>#N/A</v>
      </c>
      <c r="AE3" s="4028"/>
      <c r="AF3" s="4028"/>
      <c r="AG3" s="4028"/>
      <c r="AH3" s="4028"/>
      <c r="AI3" s="4028"/>
      <c r="AJ3" s="4028"/>
      <c r="AK3" s="4028"/>
      <c r="AL3" s="4028"/>
      <c r="AM3" s="4028"/>
      <c r="AN3" s="4028"/>
      <c r="AO3" s="4028"/>
      <c r="AP3" s="4028"/>
      <c r="AQ3" s="4028"/>
      <c r="AR3" s="4028"/>
      <c r="AS3" s="4028"/>
      <c r="AT3" s="4028"/>
      <c r="AU3" s="4028"/>
      <c r="AV3" s="4028"/>
      <c r="AW3" s="4028"/>
      <c r="AX3" s="4028"/>
      <c r="AY3" s="4028"/>
      <c r="AZ3" s="4028"/>
      <c r="BA3" s="4028"/>
      <c r="BB3" s="4029"/>
      <c r="BC3" s="1182" t="s">
        <v>606</v>
      </c>
      <c r="BE3" s="434"/>
      <c r="BF3" s="434" t="str">
        <f t="shared" si="0"/>
        <v>Территория действия тарифа</v>
      </c>
      <c r="BG3" s="434"/>
      <c r="BH3" s="434"/>
      <c r="BI3" s="1079">
        <v>0</v>
      </c>
    </row>
    <row r="4" spans="1:61" ht="33.75" hidden="1" customHeight="1">
      <c r="A4" s="1287"/>
      <c r="B4" s="1287"/>
      <c r="C4" s="1287"/>
      <c r="D4" s="1287"/>
      <c r="E4" s="4034"/>
      <c r="F4" s="4034"/>
      <c r="G4" s="4033">
        <v>1</v>
      </c>
      <c r="H4" s="1287"/>
      <c r="I4" s="1287"/>
      <c r="J4" s="1287"/>
      <c r="K4" s="1287"/>
      <c r="L4" s="1288"/>
      <c r="M4" s="1289"/>
      <c r="N4" s="1289"/>
      <c r="O4" s="1289"/>
      <c r="P4" s="1336"/>
      <c r="Q4" s="1335"/>
      <c r="R4" s="287"/>
      <c r="S4" s="1417" t="e">
        <f>INDEX(PT_DIFFERENTIATION_NUM_CS,MATCH(C4,PT_DIFFERENTIATION_CS_ID,0))</f>
        <v>#N/A</v>
      </c>
      <c r="T4" s="244" t="s">
        <v>739</v>
      </c>
      <c r="U4" s="235"/>
      <c r="V4" s="4028"/>
      <c r="W4" s="4028"/>
      <c r="X4" s="4028"/>
      <c r="Y4" s="4028"/>
      <c r="Z4" s="4028"/>
      <c r="AA4" s="4028"/>
      <c r="AB4" s="4028"/>
      <c r="AC4" s="4029"/>
      <c r="AD4" s="4027" t="e">
        <f>INDEX(PT_DIFFERENTIATION_CS,MATCH(C4,PT_DIFFERENTIATION_CS_ID,0))</f>
        <v>#N/A</v>
      </c>
      <c r="AE4" s="4028"/>
      <c r="AF4" s="4028"/>
      <c r="AG4" s="4028"/>
      <c r="AH4" s="4028"/>
      <c r="AI4" s="4028"/>
      <c r="AJ4" s="4028"/>
      <c r="AK4" s="4028"/>
      <c r="AL4" s="4028"/>
      <c r="AM4" s="4028"/>
      <c r="AN4" s="4028"/>
      <c r="AO4" s="4028"/>
      <c r="AP4" s="4028"/>
      <c r="AQ4" s="4028"/>
      <c r="AR4" s="4028"/>
      <c r="AS4" s="4028"/>
      <c r="AT4" s="4028"/>
      <c r="AU4" s="4028"/>
      <c r="AV4" s="4028"/>
      <c r="AW4" s="4028"/>
      <c r="AX4" s="4028"/>
      <c r="AY4" s="4028"/>
      <c r="AZ4" s="4028"/>
      <c r="BA4" s="4028"/>
      <c r="BB4" s="4029"/>
      <c r="BC4" s="1182" t="s">
        <v>740</v>
      </c>
      <c r="BE4" s="434"/>
      <c r="BF4" s="434" t="str">
        <f t="shared" si="0"/>
        <v>Наименование централизованной системы горячего водоснабжения</v>
      </c>
      <c r="BG4" s="434"/>
      <c r="BH4" s="434"/>
      <c r="BI4" s="1079">
        <v>0</v>
      </c>
    </row>
    <row r="5" spans="1:61" s="1566" customFormat="1" ht="14.25" hidden="1" customHeight="1">
      <c r="A5" s="1267"/>
      <c r="B5" s="1267"/>
      <c r="C5" s="1267"/>
      <c r="D5" s="1267"/>
      <c r="E5" s="4034"/>
      <c r="F5" s="4034"/>
      <c r="G5" s="4034"/>
      <c r="H5" s="4033">
        <v>1</v>
      </c>
      <c r="I5" s="1267"/>
      <c r="J5" s="1267"/>
      <c r="K5" s="1267"/>
      <c r="L5" s="1270"/>
      <c r="M5" s="1239"/>
      <c r="N5" s="1239"/>
      <c r="O5" s="1239"/>
      <c r="P5" s="1421"/>
      <c r="Q5" s="1422"/>
      <c r="R5" s="291"/>
      <c r="S5" s="969"/>
      <c r="T5" s="1423"/>
      <c r="U5" s="1308"/>
      <c r="V5" s="4065"/>
      <c r="W5" s="4065"/>
      <c r="X5" s="4065"/>
      <c r="Y5" s="4065"/>
      <c r="Z5" s="4065"/>
      <c r="AA5" s="4065"/>
      <c r="AB5" s="4065"/>
      <c r="AC5" s="4066"/>
      <c r="AD5" s="4064"/>
      <c r="AE5" s="4065"/>
      <c r="AF5" s="4065"/>
      <c r="AG5" s="4065"/>
      <c r="AH5" s="4065"/>
      <c r="AI5" s="4065"/>
      <c r="AJ5" s="4065"/>
      <c r="AK5" s="4065"/>
      <c r="AL5" s="4065"/>
      <c r="AM5" s="4065"/>
      <c r="AN5" s="4065"/>
      <c r="AO5" s="4065"/>
      <c r="AP5" s="4065"/>
      <c r="AQ5" s="4065"/>
      <c r="AR5" s="4065"/>
      <c r="AS5" s="4065"/>
      <c r="AT5" s="4065"/>
      <c r="AU5" s="4065"/>
      <c r="AV5" s="4065"/>
      <c r="AW5" s="4065"/>
      <c r="AX5" s="4065"/>
      <c r="AY5" s="4065"/>
      <c r="AZ5" s="4065"/>
      <c r="BA5" s="4065"/>
      <c r="BB5" s="4066"/>
      <c r="BC5" s="1309" t="s">
        <v>610</v>
      </c>
      <c r="BE5" s="434"/>
      <c r="BF5" s="434" t="str">
        <f t="shared" si="0"/>
        <v/>
      </c>
      <c r="BG5" s="434"/>
      <c r="BH5" s="434"/>
      <c r="BI5" s="445">
        <v>0</v>
      </c>
    </row>
    <row r="6" spans="1:61" s="1566" customFormat="1" ht="14.25" hidden="1" customHeight="1">
      <c r="A6" s="1267"/>
      <c r="B6" s="1267"/>
      <c r="C6" s="1267"/>
      <c r="D6" s="1267"/>
      <c r="E6" s="4034"/>
      <c r="F6" s="4034"/>
      <c r="G6" s="4034"/>
      <c r="H6" s="4034"/>
      <c r="I6" s="4035" t="str">
        <f>S5&amp;".1"</f>
        <v>.1</v>
      </c>
      <c r="J6" s="1267"/>
      <c r="K6" s="1267"/>
      <c r="L6" s="1270" t="s">
        <v>611</v>
      </c>
      <c r="M6" s="444"/>
      <c r="N6" s="444"/>
      <c r="O6" s="444"/>
      <c r="P6" s="4037">
        <v>1</v>
      </c>
      <c r="Q6" s="1405"/>
      <c r="R6" s="290"/>
      <c r="S6" s="969"/>
      <c r="T6" s="1307"/>
      <c r="U6" s="1308"/>
      <c r="V6" s="4065"/>
      <c r="W6" s="4065"/>
      <c r="X6" s="4065"/>
      <c r="Y6" s="4065"/>
      <c r="Z6" s="4065"/>
      <c r="AA6" s="4065"/>
      <c r="AB6" s="4065"/>
      <c r="AC6" s="4066"/>
      <c r="AD6" s="4064"/>
      <c r="AE6" s="4065"/>
      <c r="AF6" s="4065"/>
      <c r="AG6" s="4065"/>
      <c r="AH6" s="4065"/>
      <c r="AI6" s="4065"/>
      <c r="AJ6" s="4065"/>
      <c r="AK6" s="4065"/>
      <c r="AL6" s="4065"/>
      <c r="AM6" s="4065"/>
      <c r="AN6" s="4065"/>
      <c r="AO6" s="4065"/>
      <c r="AP6" s="4065"/>
      <c r="AQ6" s="4065"/>
      <c r="AR6" s="4065"/>
      <c r="AS6" s="4065"/>
      <c r="AT6" s="4065"/>
      <c r="AU6" s="4065"/>
      <c r="AV6" s="4065"/>
      <c r="AW6" s="4065"/>
      <c r="AX6" s="4065"/>
      <c r="AY6" s="4065"/>
      <c r="AZ6" s="4065"/>
      <c r="BA6" s="4065"/>
      <c r="BB6" s="4066"/>
      <c r="BC6" s="1309"/>
      <c r="BE6" s="434"/>
      <c r="BF6" s="434" t="str">
        <f t="shared" si="0"/>
        <v/>
      </c>
      <c r="BG6" s="434"/>
      <c r="BH6" s="434"/>
      <c r="BI6" s="445">
        <v>0</v>
      </c>
    </row>
    <row r="7" spans="1:61" s="1566" customFormat="1" ht="14.25" hidden="1" customHeight="1">
      <c r="A7" s="1267"/>
      <c r="B7" s="1267"/>
      <c r="C7" s="1267"/>
      <c r="D7" s="1267"/>
      <c r="E7" s="4034"/>
      <c r="F7" s="4034"/>
      <c r="G7" s="4034"/>
      <c r="H7" s="4034"/>
      <c r="I7" s="4036"/>
      <c r="J7" s="4035" t="str">
        <f>S5&amp;".1"</f>
        <v>.1</v>
      </c>
      <c r="K7" s="1267"/>
      <c r="L7" s="1270"/>
      <c r="M7" s="444"/>
      <c r="N7" s="444"/>
      <c r="O7" s="444"/>
      <c r="P7" s="4037"/>
      <c r="Q7" s="4037">
        <v>1</v>
      </c>
      <c r="R7" s="291"/>
      <c r="S7" s="969"/>
      <c r="T7" s="1323"/>
      <c r="U7" s="1308"/>
      <c r="V7" s="4065"/>
      <c r="W7" s="4065"/>
      <c r="X7" s="4065"/>
      <c r="Y7" s="4065"/>
      <c r="Z7" s="4065"/>
      <c r="AA7" s="4065"/>
      <c r="AB7" s="4065"/>
      <c r="AC7" s="4066"/>
      <c r="AD7" s="4064"/>
      <c r="AE7" s="4065"/>
      <c r="AF7" s="4065"/>
      <c r="AG7" s="4065"/>
      <c r="AH7" s="4065"/>
      <c r="AI7" s="4065"/>
      <c r="AJ7" s="4065"/>
      <c r="AK7" s="4065"/>
      <c r="AL7" s="4065"/>
      <c r="AM7" s="4065"/>
      <c r="AN7" s="4065"/>
      <c r="AO7" s="4065"/>
      <c r="AP7" s="4065"/>
      <c r="AQ7" s="4065"/>
      <c r="AR7" s="4065"/>
      <c r="AS7" s="4065"/>
      <c r="AT7" s="4065"/>
      <c r="AU7" s="4065"/>
      <c r="AV7" s="4065"/>
      <c r="AW7" s="4065"/>
      <c r="AX7" s="4065"/>
      <c r="AY7" s="4065"/>
      <c r="AZ7" s="4065"/>
      <c r="BA7" s="4065"/>
      <c r="BB7" s="4066"/>
      <c r="BC7" s="1309"/>
      <c r="BE7" s="434"/>
      <c r="BF7" s="434" t="str">
        <f t="shared" si="0"/>
        <v/>
      </c>
      <c r="BG7" s="434"/>
      <c r="BH7" s="434"/>
      <c r="BI7" s="445">
        <v>0</v>
      </c>
    </row>
    <row r="8" spans="1:61" ht="11.25" hidden="1" customHeight="1">
      <c r="A8" s="1287"/>
      <c r="B8" s="1287"/>
      <c r="C8" s="1287"/>
      <c r="D8" s="1287"/>
      <c r="E8" s="4034"/>
      <c r="F8" s="4034"/>
      <c r="G8" s="4034"/>
      <c r="H8" s="4034"/>
      <c r="I8" s="4036"/>
      <c r="J8" s="4036"/>
      <c r="K8" s="4035" t="e">
        <f>S4&amp;".1"</f>
        <v>#N/A</v>
      </c>
      <c r="L8" s="1288"/>
      <c r="P8" s="4037"/>
      <c r="Q8" s="4037"/>
      <c r="R8" s="4093">
        <v>1</v>
      </c>
      <c r="S8" s="4090" t="e">
        <f>$K8</f>
        <v>#N/A</v>
      </c>
      <c r="T8" s="4110"/>
      <c r="U8" s="235"/>
      <c r="V8" s="685"/>
      <c r="W8" s="1181"/>
      <c r="X8" s="685"/>
      <c r="Y8" s="1181"/>
      <c r="Z8" s="1630"/>
      <c r="AA8" s="1393" t="s">
        <v>53</v>
      </c>
      <c r="AB8" s="1630"/>
      <c r="AC8" s="1393" t="s">
        <v>53</v>
      </c>
      <c r="AD8" s="3952" t="s">
        <v>53</v>
      </c>
      <c r="AE8" s="4086"/>
      <c r="AF8" s="3991">
        <v>1</v>
      </c>
      <c r="AG8" s="4109"/>
      <c r="AH8" s="3899" t="s">
        <v>53</v>
      </c>
      <c r="AI8" s="4086"/>
      <c r="AJ8" s="3991">
        <v>1</v>
      </c>
      <c r="AK8" s="4100" t="s">
        <v>15</v>
      </c>
      <c r="AL8" s="3899" t="s">
        <v>53</v>
      </c>
      <c r="AM8" s="3968"/>
      <c r="AN8" s="3991">
        <v>1</v>
      </c>
      <c r="AO8" s="4113"/>
      <c r="AP8" s="4114" t="s">
        <v>53</v>
      </c>
      <c r="AQ8" s="246"/>
      <c r="AR8" s="1410">
        <v>1</v>
      </c>
      <c r="AS8" s="1416" t="s">
        <v>15</v>
      </c>
      <c r="AT8" s="685"/>
      <c r="AU8" s="1181"/>
      <c r="AV8" s="685"/>
      <c r="AW8" s="1181"/>
      <c r="AX8" s="1630"/>
      <c r="AY8" s="1393" t="s">
        <v>53</v>
      </c>
      <c r="AZ8" s="1630"/>
      <c r="BA8" s="1393" t="s">
        <v>53</v>
      </c>
      <c r="BB8" s="1272"/>
      <c r="BC8" s="4056" t="s">
        <v>710</v>
      </c>
      <c r="BE8" s="434"/>
      <c r="BF8" s="434" t="str">
        <f t="shared" si="0"/>
        <v/>
      </c>
      <c r="BG8" s="434"/>
      <c r="BH8" s="434"/>
      <c r="BI8" s="1079">
        <v>0</v>
      </c>
    </row>
    <row r="9" spans="1:61" ht="11.25" hidden="1" customHeight="1">
      <c r="A9" s="1287"/>
      <c r="B9" s="1287"/>
      <c r="C9" s="1287"/>
      <c r="D9" s="1287"/>
      <c r="E9" s="4034"/>
      <c r="F9" s="4034"/>
      <c r="G9" s="4034"/>
      <c r="H9" s="4034"/>
      <c r="I9" s="4036"/>
      <c r="J9" s="4036"/>
      <c r="K9" s="4035"/>
      <c r="L9" s="1288"/>
      <c r="P9" s="4037"/>
      <c r="Q9" s="4037"/>
      <c r="R9" s="4093"/>
      <c r="S9" s="4091"/>
      <c r="T9" s="4111"/>
      <c r="U9" s="235"/>
      <c r="V9" s="1317"/>
      <c r="W9" s="1420"/>
      <c r="X9" s="1317"/>
      <c r="Y9" s="1420"/>
      <c r="Z9" s="1317"/>
      <c r="AA9" s="1317"/>
      <c r="AB9" s="1317"/>
      <c r="AC9" s="1317"/>
      <c r="AD9" s="3953"/>
      <c r="AE9" s="4086"/>
      <c r="AF9" s="3991"/>
      <c r="AG9" s="4109"/>
      <c r="AH9" s="3899"/>
      <c r="AI9" s="4086"/>
      <c r="AJ9" s="3991"/>
      <c r="AK9" s="4100"/>
      <c r="AL9" s="3899"/>
      <c r="AM9" s="3973"/>
      <c r="AN9" s="3991"/>
      <c r="AO9" s="4113"/>
      <c r="AP9" s="4115"/>
      <c r="AQ9" s="251"/>
      <c r="AR9" s="350"/>
      <c r="AS9" s="350" t="s">
        <v>711</v>
      </c>
      <c r="AT9" s="1317"/>
      <c r="AU9" s="1420"/>
      <c r="AV9" s="1317"/>
      <c r="AW9" s="1420"/>
      <c r="AX9" s="1317"/>
      <c r="AY9" s="1317"/>
      <c r="AZ9" s="1317"/>
      <c r="BA9" s="1317"/>
      <c r="BB9" s="1321"/>
      <c r="BC9" s="4057"/>
      <c r="BE9" s="434"/>
      <c r="BF9" s="434"/>
      <c r="BG9" s="434"/>
      <c r="BH9" s="434"/>
      <c r="BI9" s="1079">
        <v>0</v>
      </c>
    </row>
    <row r="10" spans="1:61" ht="11.25" hidden="1" customHeight="1">
      <c r="A10" s="1287"/>
      <c r="B10" s="1287"/>
      <c r="C10" s="1287"/>
      <c r="D10" s="1287"/>
      <c r="E10" s="4034"/>
      <c r="F10" s="4034"/>
      <c r="G10" s="4034"/>
      <c r="H10" s="4034"/>
      <c r="I10" s="4036"/>
      <c r="J10" s="4036"/>
      <c r="K10" s="4035"/>
      <c r="L10" s="1288"/>
      <c r="P10" s="4037"/>
      <c r="Q10" s="4037"/>
      <c r="R10" s="4093"/>
      <c r="S10" s="4091"/>
      <c r="T10" s="4111"/>
      <c r="U10" s="235"/>
      <c r="V10" s="1317"/>
      <c r="W10" s="1420"/>
      <c r="X10" s="1317"/>
      <c r="Y10" s="1420"/>
      <c r="Z10" s="1317"/>
      <c r="AA10" s="1317"/>
      <c r="AB10" s="1317"/>
      <c r="AC10" s="1317"/>
      <c r="AD10" s="3953"/>
      <c r="AE10" s="4086"/>
      <c r="AF10" s="3991"/>
      <c r="AG10" s="4109"/>
      <c r="AH10" s="3899"/>
      <c r="AI10" s="4086"/>
      <c r="AJ10" s="3991"/>
      <c r="AK10" s="4100"/>
      <c r="AL10" s="3899"/>
      <c r="AM10" s="251"/>
      <c r="AN10" s="1424"/>
      <c r="AO10" s="1424" t="s">
        <v>712</v>
      </c>
      <c r="AP10" s="350"/>
      <c r="AQ10" s="350"/>
      <c r="AR10" s="350"/>
      <c r="AS10" s="1317"/>
      <c r="AT10" s="1317"/>
      <c r="AU10" s="1420"/>
      <c r="AV10" s="1317"/>
      <c r="AW10" s="1420"/>
      <c r="AX10" s="1317"/>
      <c r="AY10" s="1317"/>
      <c r="AZ10" s="1317"/>
      <c r="BA10" s="1317"/>
      <c r="BB10" s="1321"/>
      <c r="BC10" s="4057"/>
      <c r="BE10" s="434"/>
      <c r="BF10" s="434"/>
      <c r="BG10" s="434"/>
      <c r="BH10" s="434"/>
      <c r="BI10" s="1079">
        <v>0</v>
      </c>
    </row>
    <row r="11" spans="1:61" ht="11.25" hidden="1" customHeight="1">
      <c r="A11" s="1287"/>
      <c r="B11" s="1287"/>
      <c r="C11" s="1287"/>
      <c r="D11" s="1287"/>
      <c r="E11" s="4034"/>
      <c r="F11" s="4034"/>
      <c r="G11" s="4034"/>
      <c r="H11" s="4034"/>
      <c r="I11" s="4036"/>
      <c r="J11" s="4036"/>
      <c r="K11" s="4035"/>
      <c r="L11" s="1288"/>
      <c r="P11" s="4037"/>
      <c r="Q11" s="4037"/>
      <c r="R11" s="4093"/>
      <c r="S11" s="4091"/>
      <c r="T11" s="4111"/>
      <c r="U11" s="235"/>
      <c r="V11" s="1317"/>
      <c r="W11" s="1420"/>
      <c r="X11" s="1317"/>
      <c r="Y11" s="1420"/>
      <c r="Z11" s="1317"/>
      <c r="AA11" s="1317"/>
      <c r="AB11" s="1317"/>
      <c r="AC11" s="1317"/>
      <c r="AD11" s="3953"/>
      <c r="AE11" s="4086"/>
      <c r="AF11" s="3991"/>
      <c r="AG11" s="4109"/>
      <c r="AH11" s="3899"/>
      <c r="AI11" s="229"/>
      <c r="AJ11" s="349"/>
      <c r="AK11" s="248" t="s">
        <v>713</v>
      </c>
      <c r="AL11" s="1317"/>
      <c r="AM11" s="1317"/>
      <c r="AN11" s="1317"/>
      <c r="AO11" s="1317"/>
      <c r="AP11" s="1317"/>
      <c r="AQ11" s="1317"/>
      <c r="AR11" s="1317"/>
      <c r="AS11" s="1317"/>
      <c r="AT11" s="1317"/>
      <c r="AU11" s="1420"/>
      <c r="AV11" s="1317"/>
      <c r="AW11" s="1420"/>
      <c r="AX11" s="1317"/>
      <c r="AY11" s="1317"/>
      <c r="AZ11" s="1317"/>
      <c r="BA11" s="1317"/>
      <c r="BB11" s="1321"/>
      <c r="BC11" s="4057"/>
      <c r="BE11" s="434"/>
      <c r="BF11" s="434"/>
      <c r="BG11" s="434"/>
      <c r="BH11" s="434"/>
      <c r="BI11" s="1079">
        <v>0</v>
      </c>
    </row>
    <row r="12" spans="1:61" ht="11.25" hidden="1" customHeight="1">
      <c r="A12" s="1287"/>
      <c r="B12" s="1287"/>
      <c r="C12" s="1287"/>
      <c r="D12" s="1287"/>
      <c r="E12" s="4034"/>
      <c r="F12" s="4034"/>
      <c r="G12" s="4034"/>
      <c r="H12" s="4034"/>
      <c r="I12" s="4036"/>
      <c r="J12" s="4036"/>
      <c r="K12" s="4035"/>
      <c r="L12" s="1288"/>
      <c r="P12" s="4037"/>
      <c r="Q12" s="4037"/>
      <c r="R12" s="4093"/>
      <c r="S12" s="4092"/>
      <c r="T12" s="4112"/>
      <c r="U12" s="235"/>
      <c r="V12" s="1317"/>
      <c r="W12" s="1318" t="str">
        <f>Z8&amp;"-"&amp;AB8</f>
        <v>-</v>
      </c>
      <c r="X12" s="1317"/>
      <c r="Y12" s="1318" t="str">
        <f>AB8&amp;"-"&amp;AD8</f>
        <v>-да</v>
      </c>
      <c r="Z12" s="1317"/>
      <c r="AA12" s="1317"/>
      <c r="AB12" s="1317"/>
      <c r="AC12" s="1317"/>
      <c r="AD12" s="3904"/>
      <c r="AE12" s="247"/>
      <c r="AF12" s="249"/>
      <c r="AG12" s="350" t="s">
        <v>714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4057"/>
      <c r="BE12" s="434"/>
      <c r="BF12" s="434" t="str">
        <f t="shared" ref="BF12:BF18" si="1">IF(T12="","",T12)</f>
        <v/>
      </c>
      <c r="BG12" s="434"/>
      <c r="BH12" s="434"/>
      <c r="BI12" s="1079">
        <v>0</v>
      </c>
    </row>
    <row r="13" spans="1:61" ht="11.25" hidden="1" customHeight="1">
      <c r="A13" s="1287"/>
      <c r="B13" s="1287"/>
      <c r="C13" s="1287"/>
      <c r="D13" s="1287"/>
      <c r="E13" s="4034"/>
      <c r="F13" s="4034"/>
      <c r="G13" s="4034"/>
      <c r="H13" s="4034"/>
      <c r="I13" s="4036"/>
      <c r="J13" s="4035"/>
      <c r="K13" s="1287"/>
      <c r="L13" s="1288"/>
      <c r="P13" s="4037"/>
      <c r="Q13" s="4037"/>
      <c r="R13" s="290"/>
      <c r="S13" s="1202"/>
      <c r="T13" s="222" t="s">
        <v>677</v>
      </c>
      <c r="U13" s="301"/>
      <c r="V13" s="301"/>
      <c r="W13" s="301"/>
      <c r="X13" s="301"/>
      <c r="Y13" s="301"/>
      <c r="Z13" s="301"/>
      <c r="AA13" s="301"/>
      <c r="AB13" s="301"/>
      <c r="AC13" s="301"/>
      <c r="AD13" s="1429"/>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4058"/>
      <c r="BE13" s="434"/>
      <c r="BF13" s="434" t="str">
        <f t="shared" si="1"/>
        <v>Добавить строку</v>
      </c>
      <c r="BG13" s="434"/>
      <c r="BH13" s="434"/>
      <c r="BI13" s="1079">
        <v>0</v>
      </c>
    </row>
    <row r="14" spans="1:61" s="1566" customFormat="1" ht="14.25" hidden="1" customHeight="1">
      <c r="A14" s="1267"/>
      <c r="B14" s="1267"/>
      <c r="C14" s="1267"/>
      <c r="D14" s="1267"/>
      <c r="E14" s="4034"/>
      <c r="F14" s="4034"/>
      <c r="G14" s="4034"/>
      <c r="H14" s="4034"/>
      <c r="I14" s="4035"/>
      <c r="J14" s="1267"/>
      <c r="K14" s="1267"/>
      <c r="L14" s="1270"/>
      <c r="M14" s="444"/>
      <c r="N14" s="444"/>
      <c r="O14" s="444"/>
      <c r="P14" s="4037"/>
      <c r="Q14" s="1405"/>
      <c r="R14" s="290"/>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4"/>
      <c r="BF14" s="434" t="str">
        <f t="shared" si="1"/>
        <v/>
      </c>
      <c r="BG14" s="434"/>
      <c r="BH14" s="434"/>
      <c r="BI14" s="445">
        <v>0</v>
      </c>
    </row>
    <row r="15" spans="1:61" s="1566" customFormat="1" ht="14.25" hidden="1" customHeight="1">
      <c r="A15" s="1267"/>
      <c r="B15" s="1267"/>
      <c r="C15" s="1267"/>
      <c r="D15" s="1267"/>
      <c r="E15" s="4034"/>
      <c r="F15" s="4034"/>
      <c r="G15" s="4034"/>
      <c r="H15" s="4033"/>
      <c r="I15" s="1267"/>
      <c r="J15" s="1267"/>
      <c r="K15" s="1267"/>
      <c r="L15" s="1270"/>
      <c r="M15" s="1239"/>
      <c r="N15" s="1239"/>
      <c r="O15" s="452"/>
      <c r="P15" s="314"/>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4"/>
      <c r="BF15" s="434" t="str">
        <f t="shared" si="1"/>
        <v/>
      </c>
      <c r="BG15" s="434"/>
      <c r="BH15" s="434"/>
      <c r="BI15" s="445">
        <v>0</v>
      </c>
    </row>
    <row r="16" spans="1:61" s="1566" customFormat="1" ht="14.25" hidden="1" customHeight="1">
      <c r="A16" s="1267"/>
      <c r="B16" s="1267"/>
      <c r="C16" s="1267"/>
      <c r="D16" s="1238"/>
      <c r="E16" s="4034"/>
      <c r="F16" s="4034"/>
      <c r="G16" s="4033"/>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7"/>
      <c r="BF16" s="717" t="str">
        <f t="shared" si="1"/>
        <v/>
      </c>
      <c r="BG16" s="717"/>
      <c r="BH16" s="717"/>
      <c r="BI16" s="452">
        <v>0</v>
      </c>
    </row>
    <row r="17" spans="1:61" s="1566" customFormat="1" ht="14.25" hidden="1" customHeight="1">
      <c r="A17" s="1267"/>
      <c r="B17" s="1267"/>
      <c r="C17" s="1238"/>
      <c r="D17" s="1238"/>
      <c r="E17" s="4034"/>
      <c r="F17" s="4033"/>
      <c r="G17" s="1238"/>
      <c r="H17" s="1238"/>
      <c r="I17" s="1238"/>
      <c r="J17" s="1238"/>
      <c r="K17" s="1238"/>
      <c r="L17" s="1418"/>
      <c r="M17" s="1245"/>
      <c r="N17" s="1245"/>
      <c r="P17" s="1240"/>
      <c r="Q17" s="1241"/>
      <c r="R17" s="1240"/>
      <c r="S17" s="1246"/>
      <c r="T17" s="1249" t="s">
        <v>236</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7"/>
      <c r="BF17" s="717" t="str">
        <f t="shared" si="1"/>
        <v>Добавить централизованную систему для дифференциации</v>
      </c>
      <c r="BG17" s="717"/>
      <c r="BH17" s="717"/>
      <c r="BI17" s="452">
        <v>0</v>
      </c>
    </row>
    <row r="18" spans="1:61" s="1566" customFormat="1" ht="14.25" hidden="1" customHeight="1">
      <c r="A18" s="1267"/>
      <c r="B18" s="1267"/>
      <c r="C18" s="1267"/>
      <c r="D18" s="1267"/>
      <c r="E18" s="4033"/>
      <c r="F18" s="1267"/>
      <c r="G18" s="1267"/>
      <c r="H18" s="1267"/>
      <c r="I18" s="1267"/>
      <c r="J18" s="1267"/>
      <c r="K18" s="1267"/>
      <c r="L18" s="1270"/>
      <c r="M18" s="1245"/>
      <c r="N18" s="1245"/>
      <c r="O18" s="452"/>
      <c r="P18" s="314"/>
      <c r="Q18" s="1268"/>
      <c r="R18" s="314"/>
      <c r="S18" s="1246"/>
      <c r="T18" s="1249" t="s">
        <v>286</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4"/>
      <c r="BF18" s="434" t="str">
        <f t="shared" si="1"/>
        <v>Добавить территорию для дифференциации</v>
      </c>
      <c r="BG18" s="434"/>
      <c r="BH18" s="434"/>
      <c r="BI18" s="445">
        <v>0</v>
      </c>
    </row>
    <row r="19" spans="1:61" ht="14.25" hidden="1" customHeight="1">
      <c r="AC19" s="262"/>
      <c r="BA19" s="262"/>
      <c r="BI19" s="1079">
        <v>0</v>
      </c>
    </row>
    <row r="20" spans="1:61" ht="14.25" hidden="1" customHeight="1">
      <c r="AD20" s="1248" t="s">
        <v>6</v>
      </c>
      <c r="AE20" s="1425"/>
      <c r="AF20" s="482">
        <v>1</v>
      </c>
      <c r="AG20" s="1426"/>
      <c r="AH20" s="1248" t="s">
        <v>6</v>
      </c>
      <c r="AI20" s="1425"/>
      <c r="AJ20" s="482">
        <v>1</v>
      </c>
      <c r="AK20" s="1426"/>
      <c r="AL20" s="1248" t="s">
        <v>6</v>
      </c>
      <c r="AM20" s="1427"/>
      <c r="AN20" s="482">
        <v>1</v>
      </c>
      <c r="AO20" s="1428"/>
      <c r="AP20" s="1248" t="s">
        <v>6</v>
      </c>
      <c r="AQ20" s="1427"/>
      <c r="AR20" s="482">
        <v>1</v>
      </c>
      <c r="AS20" s="1428"/>
      <c r="AT20" s="260"/>
      <c r="AU20" s="318"/>
      <c r="AV20" s="260"/>
      <c r="AW20" s="318"/>
      <c r="AX20" s="1632"/>
      <c r="AY20" s="1409" t="s">
        <v>53</v>
      </c>
      <c r="AZ20" s="1632"/>
      <c r="BA20" s="1409" t="s">
        <v>53</v>
      </c>
      <c r="BI20" s="1079">
        <v>0</v>
      </c>
    </row>
    <row r="21" spans="1:61" ht="14.25" hidden="1" customHeight="1">
      <c r="BD21" s="430"/>
      <c r="BE21" s="430"/>
      <c r="BF21" s="430"/>
      <c r="BG21" s="430"/>
      <c r="BH21" s="430"/>
      <c r="BI21" s="1079">
        <v>0</v>
      </c>
    </row>
    <row r="22" spans="1:61" ht="14.25" hidden="1" customHeight="1">
      <c r="O22" s="1291" t="s">
        <v>622</v>
      </c>
      <c r="Z22" s="1269"/>
      <c r="AB22" s="1269"/>
      <c r="AC22" s="262"/>
      <c r="AX22" s="1269"/>
      <c r="AZ22" s="1269"/>
      <c r="BA22" s="262"/>
      <c r="BD22" s="430"/>
      <c r="BE22" s="430"/>
      <c r="BF22" s="430"/>
      <c r="BG22" s="430"/>
      <c r="BH22" s="430"/>
      <c r="BI22" s="1079">
        <v>0</v>
      </c>
    </row>
    <row r="23" spans="1:61" ht="14.25" hidden="1" customHeight="1">
      <c r="AC23" s="262"/>
      <c r="BA23" s="262"/>
      <c r="BD23" s="430"/>
      <c r="BE23" s="430"/>
      <c r="BF23" s="430"/>
      <c r="BG23" s="430"/>
      <c r="BH23" s="430"/>
      <c r="BI23" s="1079">
        <v>0</v>
      </c>
    </row>
    <row r="24" spans="1:61" s="1433" customFormat="1" ht="14.25" hidden="1" customHeight="1">
      <c r="M24" s="1432"/>
      <c r="N24" s="1432"/>
      <c r="O24" s="1433" t="s">
        <v>623</v>
      </c>
      <c r="P24" s="1432"/>
      <c r="Q24" s="1434"/>
      <c r="R24" s="1434"/>
      <c r="AA24" s="1431" t="s">
        <v>625</v>
      </c>
      <c r="AC24" s="1431" t="s">
        <v>626</v>
      </c>
      <c r="AD24" s="1431" t="s">
        <v>678</v>
      </c>
      <c r="AH24" s="1431" t="s">
        <v>678</v>
      </c>
      <c r="AK24" s="1431" t="s">
        <v>715</v>
      </c>
      <c r="AL24" s="1431" t="s">
        <v>678</v>
      </c>
      <c r="AP24" s="1431" t="s">
        <v>678</v>
      </c>
      <c r="AY24" s="1431" t="s">
        <v>625</v>
      </c>
      <c r="BA24" s="1431" t="s">
        <v>626</v>
      </c>
      <c r="BD24" s="1435"/>
      <c r="BE24" s="1435"/>
      <c r="BF24" s="1435"/>
      <c r="BG24" s="1435"/>
      <c r="BH24" s="1435"/>
      <c r="BI24" s="1431">
        <v>0</v>
      </c>
    </row>
    <row r="25" spans="1:61" ht="14.25" hidden="1" customHeight="1">
      <c r="O25" s="1288"/>
      <c r="BD25" s="430"/>
      <c r="BE25" s="430"/>
      <c r="BF25" s="430"/>
      <c r="BG25" s="430"/>
      <c r="BH25" s="430"/>
      <c r="BI25" s="1079">
        <v>0</v>
      </c>
    </row>
    <row r="26" spans="1:61" ht="14.25" hidden="1" customHeight="1">
      <c r="O26" s="1288"/>
      <c r="BD26" s="430"/>
      <c r="BE26" s="430"/>
      <c r="BF26" s="430"/>
      <c r="BG26" s="430"/>
      <c r="BH26" s="430"/>
      <c r="BI26" s="1079">
        <v>0</v>
      </c>
    </row>
    <row r="27" spans="1:61" ht="14.65" customHeight="1">
      <c r="Q27" s="226"/>
      <c r="R27" s="310"/>
      <c r="S27" s="1199"/>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9">
        <v>14</v>
      </c>
    </row>
    <row r="28" spans="1:61" ht="14.65" customHeight="1">
      <c r="Q28" s="226"/>
      <c r="R28" s="310"/>
      <c r="S28" s="401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4014"/>
      <c r="U28" s="4014"/>
      <c r="V28" s="4014"/>
      <c r="W28" s="4014"/>
      <c r="X28" s="4014"/>
      <c r="Y28" s="4014"/>
      <c r="Z28" s="4014"/>
      <c r="AA28" s="4014"/>
      <c r="AB28" s="4014"/>
      <c r="AC28" s="4014"/>
      <c r="AD28" s="4014"/>
      <c r="AE28" s="4014"/>
      <c r="AF28" s="4014"/>
      <c r="AG28" s="4014"/>
      <c r="AH28" s="4014"/>
      <c r="AI28" s="4014"/>
      <c r="AJ28" s="4014"/>
      <c r="AK28" s="4014"/>
      <c r="AL28" s="4014"/>
      <c r="AM28" s="4014"/>
      <c r="AN28" s="4014"/>
      <c r="AO28" s="4014"/>
      <c r="AP28" s="4014"/>
      <c r="AQ28" s="4014"/>
      <c r="AR28" s="4014"/>
      <c r="AS28" s="4014"/>
      <c r="AT28" s="4014"/>
      <c r="AU28" s="4014"/>
      <c r="AV28" s="4014"/>
      <c r="AW28" s="4014"/>
      <c r="AX28" s="4014"/>
      <c r="AY28" s="4014"/>
      <c r="AZ28" s="4014"/>
      <c r="BA28" s="1167"/>
      <c r="BI28" s="1079">
        <v>14</v>
      </c>
    </row>
    <row r="29" spans="1:61" ht="14.65" customHeight="1">
      <c r="Q29" s="226"/>
      <c r="R29" s="310"/>
      <c r="S29" s="3987" t="str">
        <f>IF(org=0,"Не определено",org)</f>
        <v>ООО "Смоленскрегионтеплоэнерго"</v>
      </c>
      <c r="T29" s="3987"/>
      <c r="U29" s="3987"/>
      <c r="V29" s="3987"/>
      <c r="W29" s="3987"/>
      <c r="X29" s="3987"/>
      <c r="Y29" s="3987"/>
      <c r="Z29" s="3987"/>
      <c r="AA29" s="3987"/>
      <c r="AB29" s="3987"/>
      <c r="AC29" s="3987"/>
      <c r="AD29" s="3987"/>
      <c r="AE29" s="3987"/>
      <c r="AF29" s="3987"/>
      <c r="AG29" s="3987"/>
      <c r="AH29" s="3987"/>
      <c r="AI29" s="3987"/>
      <c r="AJ29" s="3987"/>
      <c r="AK29" s="3987"/>
      <c r="AL29" s="3987"/>
      <c r="AM29" s="3987"/>
      <c r="AN29" s="3987"/>
      <c r="AO29" s="3987"/>
      <c r="AP29" s="3987"/>
      <c r="AQ29" s="3987"/>
      <c r="AR29" s="3987"/>
      <c r="AS29" s="3987"/>
      <c r="AT29" s="3987"/>
      <c r="AU29" s="3987"/>
      <c r="AV29" s="3987"/>
      <c r="AW29" s="3987"/>
      <c r="AX29" s="3987"/>
      <c r="AY29" s="3987"/>
      <c r="AZ29" s="3987"/>
      <c r="BA29" s="1167"/>
      <c r="BI29" s="1079">
        <v>14</v>
      </c>
    </row>
    <row r="30" spans="1:61" ht="14.25" hidden="1" customHeight="1">
      <c r="Q30" s="226"/>
      <c r="R30" s="310"/>
      <c r="S30" s="1199"/>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9">
        <v>0</v>
      </c>
    </row>
    <row r="31" spans="1:61" s="1748" customFormat="1" ht="25.5" hidden="1" customHeight="1">
      <c r="A31" s="1292"/>
      <c r="B31" s="1292"/>
      <c r="C31" s="1292"/>
      <c r="D31" s="1292"/>
      <c r="E31" s="1292"/>
      <c r="F31" s="1292"/>
      <c r="G31" s="1292"/>
      <c r="H31" s="1292"/>
      <c r="I31" s="1292"/>
      <c r="J31" s="1292"/>
      <c r="K31" s="1292"/>
      <c r="L31" s="1293"/>
      <c r="M31" s="1292"/>
      <c r="N31" s="1292"/>
      <c r="O31" s="1292"/>
      <c r="P31" s="1292"/>
      <c r="Q31" s="1292"/>
      <c r="S31" s="4024" t="s">
        <v>29</v>
      </c>
      <c r="T31" s="4024"/>
      <c r="U31" s="1296"/>
      <c r="V31" s="4026" t="str">
        <f>IF(TITLE_NAME_OR_PR_CHANGE="",IF(TITLE_NAME_OR_PR="","",TITLE_NAME_OR_PR),TITLE_NAME_OR_PR_CHANGE)</f>
        <v/>
      </c>
      <c r="W31" s="4026"/>
      <c r="X31" s="4026"/>
      <c r="Y31" s="4026"/>
      <c r="Z31" s="4026"/>
      <c r="AA31" s="4026"/>
      <c r="AB31" s="4026"/>
      <c r="AC31" s="261"/>
      <c r="AD31" s="4026" t="str">
        <f>IF(TITLE_NAME_OR_PR_CHANGE="",IF(TITLE_NAME_OR_PR="","",TITLE_NAME_OR_PR),TITLE_NAME_OR_PR_CHANGE)</f>
        <v/>
      </c>
      <c r="AE31" s="4026"/>
      <c r="AF31" s="4026"/>
      <c r="AG31" s="4026"/>
      <c r="AH31" s="4026"/>
      <c r="AI31" s="4026"/>
      <c r="AJ31" s="4026"/>
      <c r="AK31" s="4026"/>
      <c r="AL31" s="4026"/>
      <c r="AM31" s="4026"/>
      <c r="AN31" s="4026"/>
      <c r="AO31" s="4026"/>
      <c r="AP31" s="4026"/>
      <c r="AQ31" s="4026"/>
      <c r="AR31" s="4026"/>
      <c r="AS31" s="4026"/>
      <c r="AT31" s="4026"/>
      <c r="AU31" s="4026"/>
      <c r="AV31" s="4026"/>
      <c r="AW31" s="4026"/>
      <c r="AX31" s="4026"/>
      <c r="AY31" s="4026"/>
      <c r="AZ31" s="4026"/>
      <c r="BA31" s="261"/>
      <c r="BB31" s="261"/>
      <c r="BC31" s="215"/>
      <c r="BD31" s="302"/>
      <c r="BE31" s="302"/>
      <c r="BF31" s="302"/>
      <c r="BG31" s="302"/>
      <c r="BH31" s="302"/>
      <c r="BI31" s="352">
        <v>0</v>
      </c>
    </row>
    <row r="32" spans="1:61" s="1748" customFormat="1" ht="18.75" hidden="1" customHeight="1">
      <c r="A32" s="1292"/>
      <c r="B32" s="1292"/>
      <c r="C32" s="1292"/>
      <c r="D32" s="1292"/>
      <c r="E32" s="1292"/>
      <c r="F32" s="1292"/>
      <c r="G32" s="1292"/>
      <c r="H32" s="1292"/>
      <c r="I32" s="1292"/>
      <c r="J32" s="1292"/>
      <c r="K32" s="1292"/>
      <c r="L32" s="1293"/>
      <c r="M32" s="1292"/>
      <c r="N32" s="1292"/>
      <c r="O32" s="1292"/>
      <c r="P32" s="1292"/>
      <c r="Q32" s="1292"/>
      <c r="S32" s="4024" t="s">
        <v>628</v>
      </c>
      <c r="T32" s="4024"/>
      <c r="U32" s="1296"/>
      <c r="V32" s="4025">
        <f>IF(TITLE_DATE_PR_CHANGE="",IF(TITLE_DATE_PR="","",TITLE_DATE_PR),TITLE_DATE_PR_CHANGE)</f>
        <v>45765</v>
      </c>
      <c r="W32" s="4025"/>
      <c r="X32" s="4025"/>
      <c r="Y32" s="4025"/>
      <c r="Z32" s="4025"/>
      <c r="AA32" s="4025"/>
      <c r="AB32" s="4025"/>
      <c r="AC32" s="261"/>
      <c r="AD32" s="4025">
        <f>IF(TITLE_DATE_PR_CHANGE="",IF(TITLE_DATE_PR="","",TITLE_DATE_PR),TITLE_DATE_PR_CHANGE)</f>
        <v>45765</v>
      </c>
      <c r="AE32" s="4025"/>
      <c r="AF32" s="4025"/>
      <c r="AG32" s="4025"/>
      <c r="AH32" s="4025"/>
      <c r="AI32" s="4025"/>
      <c r="AJ32" s="4025"/>
      <c r="AK32" s="4025"/>
      <c r="AL32" s="4025"/>
      <c r="AM32" s="4025"/>
      <c r="AN32" s="4025"/>
      <c r="AO32" s="4025"/>
      <c r="AP32" s="4025"/>
      <c r="AQ32" s="4025"/>
      <c r="AR32" s="4025"/>
      <c r="AS32" s="4025"/>
      <c r="AT32" s="4025"/>
      <c r="AU32" s="4025"/>
      <c r="AV32" s="4025"/>
      <c r="AW32" s="4025"/>
      <c r="AX32" s="4025"/>
      <c r="AY32" s="4025"/>
      <c r="AZ32" s="4025"/>
      <c r="BA32" s="261"/>
      <c r="BB32" s="261"/>
      <c r="BC32" s="215"/>
      <c r="BD32" s="302"/>
      <c r="BE32" s="302"/>
      <c r="BF32" s="302"/>
      <c r="BG32" s="302"/>
      <c r="BH32" s="302"/>
      <c r="BI32" s="352">
        <v>0</v>
      </c>
    </row>
    <row r="33" spans="1:61" s="1748" customFormat="1" ht="18.75" hidden="1" customHeight="1">
      <c r="A33" s="1292"/>
      <c r="B33" s="1292"/>
      <c r="C33" s="1292"/>
      <c r="D33" s="1292"/>
      <c r="E33" s="1292"/>
      <c r="F33" s="1292"/>
      <c r="G33" s="1292"/>
      <c r="H33" s="1292"/>
      <c r="I33" s="1292"/>
      <c r="J33" s="1292"/>
      <c r="K33" s="1292"/>
      <c r="L33" s="1293"/>
      <c r="M33" s="1292"/>
      <c r="N33" s="1292"/>
      <c r="O33" s="1292"/>
      <c r="P33" s="1292"/>
      <c r="Q33" s="1292"/>
      <c r="S33" s="4024" t="s">
        <v>629</v>
      </c>
      <c r="T33" s="4024"/>
      <c r="U33" s="1296"/>
      <c r="V33" s="4026" t="str">
        <f>IF(TITLE_NUMBER_PR_CHANGE="",IF(TITLE_NUMBER_PR="","",TITLE_NUMBER_PR),TITLE_NUMBER_PR_CHANGE)</f>
        <v>917</v>
      </c>
      <c r="W33" s="4026"/>
      <c r="X33" s="4026"/>
      <c r="Y33" s="4026"/>
      <c r="Z33" s="4026"/>
      <c r="AA33" s="4026"/>
      <c r="AB33" s="4026"/>
      <c r="AC33" s="261"/>
      <c r="AD33" s="4026" t="str">
        <f>IF(TITLE_NUMBER_PR_CHANGE="",IF(TITLE_NUMBER_PR="","",TITLE_NUMBER_PR),TITLE_NUMBER_PR_CHANGE)</f>
        <v>917</v>
      </c>
      <c r="AE33" s="4026"/>
      <c r="AF33" s="4026"/>
      <c r="AG33" s="4026"/>
      <c r="AH33" s="4026"/>
      <c r="AI33" s="4026"/>
      <c r="AJ33" s="4026"/>
      <c r="AK33" s="4026"/>
      <c r="AL33" s="4026"/>
      <c r="AM33" s="4026"/>
      <c r="AN33" s="4026"/>
      <c r="AO33" s="4026"/>
      <c r="AP33" s="4026"/>
      <c r="AQ33" s="4026"/>
      <c r="AR33" s="4026"/>
      <c r="AS33" s="4026"/>
      <c r="AT33" s="4026"/>
      <c r="AU33" s="4026"/>
      <c r="AV33" s="4026"/>
      <c r="AW33" s="4026"/>
      <c r="AX33" s="4026"/>
      <c r="AY33" s="4026"/>
      <c r="AZ33" s="4026"/>
      <c r="BA33" s="261"/>
      <c r="BB33" s="261"/>
      <c r="BC33" s="215"/>
      <c r="BD33" s="302"/>
      <c r="BE33" s="302"/>
      <c r="BF33" s="302"/>
      <c r="BG33" s="302"/>
      <c r="BH33" s="302"/>
      <c r="BI33" s="352">
        <v>0</v>
      </c>
    </row>
    <row r="34" spans="1:61" s="1748" customFormat="1" ht="18.75" hidden="1" customHeight="1">
      <c r="A34" s="1292"/>
      <c r="B34" s="1292"/>
      <c r="C34" s="1292"/>
      <c r="D34" s="1292"/>
      <c r="E34" s="1292"/>
      <c r="F34" s="1292"/>
      <c r="G34" s="1292"/>
      <c r="H34" s="1292"/>
      <c r="I34" s="1292"/>
      <c r="J34" s="1292"/>
      <c r="K34" s="1292"/>
      <c r="L34" s="1293"/>
      <c r="M34" s="1292"/>
      <c r="N34" s="1292"/>
      <c r="O34" s="1292"/>
      <c r="P34" s="1292"/>
      <c r="Q34" s="1292"/>
      <c r="S34" s="4024" t="s">
        <v>30</v>
      </c>
      <c r="T34" s="4024"/>
      <c r="U34" s="1296"/>
      <c r="V34" s="4026" t="str">
        <f>IF(TITLE_IST_PUB_CHANGE="",IF(TITLE_IST_PUB="","",TITLE_IST_PUB),TITLE_IST_PUB_CHANGE)</f>
        <v/>
      </c>
      <c r="W34" s="4026"/>
      <c r="X34" s="4026"/>
      <c r="Y34" s="4026"/>
      <c r="Z34" s="4026"/>
      <c r="AA34" s="4026"/>
      <c r="AB34" s="4026"/>
      <c r="AC34" s="261"/>
      <c r="AD34" s="4026" t="str">
        <f>IF(TITLE_IST_PUB_CHANGE="",IF(TITLE_IST_PUB="","",TITLE_IST_PUB),TITLE_IST_PUB_CHANGE)</f>
        <v/>
      </c>
      <c r="AE34" s="4026"/>
      <c r="AF34" s="4026"/>
      <c r="AG34" s="4026"/>
      <c r="AH34" s="4026"/>
      <c r="AI34" s="4026"/>
      <c r="AJ34" s="4026"/>
      <c r="AK34" s="4026"/>
      <c r="AL34" s="4026"/>
      <c r="AM34" s="4026"/>
      <c r="AN34" s="4026"/>
      <c r="AO34" s="4026"/>
      <c r="AP34" s="4026"/>
      <c r="AQ34" s="4026"/>
      <c r="AR34" s="4026"/>
      <c r="AS34" s="4026"/>
      <c r="AT34" s="4026"/>
      <c r="AU34" s="4026"/>
      <c r="AV34" s="4026"/>
      <c r="AW34" s="4026"/>
      <c r="AX34" s="4026"/>
      <c r="AY34" s="4026"/>
      <c r="AZ34" s="4026"/>
      <c r="BA34" s="261"/>
      <c r="BB34" s="261"/>
      <c r="BC34" s="215"/>
      <c r="BD34" s="302"/>
      <c r="BE34" s="302"/>
      <c r="BF34" s="302"/>
      <c r="BG34" s="302"/>
      <c r="BH34" s="302"/>
      <c r="BI34" s="352">
        <v>0</v>
      </c>
    </row>
    <row r="35" spans="1:61" ht="14.25" customHeight="1">
      <c r="Q35" s="226"/>
      <c r="R35" s="310"/>
      <c r="S35" s="1199"/>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9">
        <v>0</v>
      </c>
    </row>
    <row r="36" spans="1:61" s="1748" customFormat="1" ht="18.75" customHeight="1">
      <c r="A36" s="1292"/>
      <c r="B36" s="1292"/>
      <c r="C36" s="1292"/>
      <c r="D36" s="1292"/>
      <c r="E36" s="1292"/>
      <c r="F36" s="1292"/>
      <c r="G36" s="1292"/>
      <c r="H36" s="1292"/>
      <c r="I36" s="1292"/>
      <c r="J36" s="1292"/>
      <c r="K36" s="1292"/>
      <c r="L36" s="1293"/>
      <c r="M36" s="1292"/>
      <c r="N36" s="1292"/>
      <c r="O36" s="1292"/>
      <c r="P36" s="1292"/>
      <c r="Q36" s="1292"/>
      <c r="S36" s="4024" t="s">
        <v>628</v>
      </c>
      <c r="T36" s="4024"/>
      <c r="U36" s="1296"/>
      <c r="V36" s="4025">
        <f>IF(TITLE_DATE_PR_CHANGE="",IF(TITLE_DATE_PR="","",TITLE_DATE_PR),TITLE_DATE_PR_CHANGE)</f>
        <v>45765</v>
      </c>
      <c r="W36" s="4025"/>
      <c r="X36" s="4025"/>
      <c r="Y36" s="4025"/>
      <c r="Z36" s="4025"/>
      <c r="AA36" s="4025"/>
      <c r="AB36" s="4025"/>
      <c r="AC36" s="261"/>
      <c r="AD36" s="4025">
        <f>IF(TITLE_DATE_PR_CHANGE="",IF(TITLE_DATE_PR="","",TITLE_DATE_PR),TITLE_DATE_PR_CHANGE)</f>
        <v>45765</v>
      </c>
      <c r="AE36" s="4025"/>
      <c r="AF36" s="4025"/>
      <c r="AG36" s="4025"/>
      <c r="AH36" s="4025"/>
      <c r="AI36" s="4025"/>
      <c r="AJ36" s="4025"/>
      <c r="AK36" s="4025"/>
      <c r="AL36" s="4025"/>
      <c r="AM36" s="4025"/>
      <c r="AN36" s="4025"/>
      <c r="AO36" s="4025"/>
      <c r="AP36" s="4025"/>
      <c r="AQ36" s="4025"/>
      <c r="AR36" s="4025"/>
      <c r="AS36" s="4025"/>
      <c r="AT36" s="4025"/>
      <c r="AU36" s="4025"/>
      <c r="AV36" s="4025"/>
      <c r="AW36" s="4025"/>
      <c r="AX36" s="4025"/>
      <c r="AY36" s="4025"/>
      <c r="AZ36" s="4025"/>
      <c r="BA36" s="261"/>
      <c r="BB36" s="261"/>
      <c r="BC36" s="215"/>
      <c r="BD36" s="302"/>
      <c r="BE36" s="302"/>
      <c r="BF36" s="302"/>
      <c r="BG36" s="302"/>
      <c r="BH36" s="302"/>
      <c r="BI36" s="352">
        <v>0</v>
      </c>
    </row>
    <row r="37" spans="1:61" s="1748" customFormat="1" ht="18.75" customHeight="1">
      <c r="A37" s="1292"/>
      <c r="B37" s="1292"/>
      <c r="C37" s="1292"/>
      <c r="D37" s="1292"/>
      <c r="E37" s="1292"/>
      <c r="F37" s="1292"/>
      <c r="G37" s="1292"/>
      <c r="H37" s="1292"/>
      <c r="I37" s="1292"/>
      <c r="J37" s="1292"/>
      <c r="K37" s="1292"/>
      <c r="L37" s="1293"/>
      <c r="M37" s="1292"/>
      <c r="N37" s="1292"/>
      <c r="O37" s="1292"/>
      <c r="P37" s="1292"/>
      <c r="Q37" s="1292"/>
      <c r="S37" s="4024" t="s">
        <v>629</v>
      </c>
      <c r="T37" s="4024"/>
      <c r="U37" s="1296"/>
      <c r="V37" s="4026" t="str">
        <f>IF(TITLE_NUMBER_PR_CHANGE="",IF(TITLE_NUMBER_PR="","",TITLE_NUMBER_PR),TITLE_NUMBER_PR_CHANGE)</f>
        <v>917</v>
      </c>
      <c r="W37" s="4026"/>
      <c r="X37" s="4026"/>
      <c r="Y37" s="4026"/>
      <c r="Z37" s="4026"/>
      <c r="AA37" s="4026"/>
      <c r="AB37" s="4026"/>
      <c r="AC37" s="261"/>
      <c r="AD37" s="4026" t="str">
        <f>IF(TITLE_NUMBER_PR_CHANGE="",IF(TITLE_NUMBER_PR="","",TITLE_NUMBER_PR),TITLE_NUMBER_PR_CHANGE)</f>
        <v>917</v>
      </c>
      <c r="AE37" s="4026"/>
      <c r="AF37" s="4026"/>
      <c r="AG37" s="4026"/>
      <c r="AH37" s="4026"/>
      <c r="AI37" s="4026"/>
      <c r="AJ37" s="4026"/>
      <c r="AK37" s="4026"/>
      <c r="AL37" s="4026"/>
      <c r="AM37" s="4026"/>
      <c r="AN37" s="4026"/>
      <c r="AO37" s="4026"/>
      <c r="AP37" s="4026"/>
      <c r="AQ37" s="4026"/>
      <c r="AR37" s="4026"/>
      <c r="AS37" s="4026"/>
      <c r="AT37" s="4026"/>
      <c r="AU37" s="4026"/>
      <c r="AV37" s="4026"/>
      <c r="AW37" s="4026"/>
      <c r="AX37" s="4026"/>
      <c r="AY37" s="4026"/>
      <c r="AZ37" s="4026"/>
      <c r="BA37" s="261"/>
      <c r="BB37" s="261"/>
      <c r="BC37" s="215"/>
      <c r="BD37" s="302"/>
      <c r="BE37" s="302"/>
      <c r="BF37" s="302"/>
      <c r="BG37" s="302"/>
      <c r="BH37" s="302"/>
      <c r="BI37" s="352">
        <v>0</v>
      </c>
    </row>
    <row r="38" spans="1:61" s="1748" customFormat="1" ht="0" hidden="1" customHeight="1">
      <c r="A38" s="1292"/>
      <c r="B38" s="1292"/>
      <c r="C38" s="1292"/>
      <c r="D38" s="1292"/>
      <c r="E38" s="1292"/>
      <c r="F38" s="1292"/>
      <c r="G38" s="1292"/>
      <c r="H38" s="1292"/>
      <c r="I38" s="1292"/>
      <c r="J38" s="1292"/>
      <c r="K38" s="1292"/>
      <c r="L38" s="1293"/>
      <c r="M38" s="1292"/>
      <c r="N38" s="1292"/>
      <c r="O38" s="1292"/>
      <c r="P38" s="1292"/>
      <c r="Q38" s="1292"/>
      <c r="S38" s="258"/>
      <c r="T38" s="258"/>
      <c r="U38" s="1412"/>
      <c r="V38" s="261"/>
      <c r="W38" s="261"/>
      <c r="X38" s="261"/>
      <c r="Y38" s="261"/>
      <c r="Z38" s="261"/>
      <c r="AA38" s="261"/>
      <c r="AB38" s="261"/>
      <c r="AC38" s="213" t="s">
        <v>632</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632</v>
      </c>
      <c r="BD38" s="302"/>
      <c r="BE38" s="302"/>
      <c r="BF38" s="302"/>
      <c r="BG38" s="302"/>
      <c r="BH38" s="302"/>
      <c r="BI38" s="352">
        <v>0</v>
      </c>
    </row>
    <row r="39" spans="1:61" ht="14.65" customHeight="1">
      <c r="Q39" s="226"/>
      <c r="R39" s="310"/>
      <c r="S39" s="1199"/>
      <c r="T39" s="297"/>
      <c r="U39" s="1168"/>
      <c r="V39" s="4045"/>
      <c r="W39" s="4045"/>
      <c r="X39" s="4045"/>
      <c r="Y39" s="4045"/>
      <c r="Z39" s="4045"/>
      <c r="AA39" s="4045"/>
      <c r="AB39" s="4045"/>
      <c r="AC39" s="4045"/>
      <c r="AD39" s="4045"/>
      <c r="AE39" s="4045"/>
      <c r="AF39" s="4045"/>
      <c r="AG39" s="4045"/>
      <c r="AH39" s="4045"/>
      <c r="AI39" s="4045"/>
      <c r="AJ39" s="4045"/>
      <c r="AK39" s="4045"/>
      <c r="AL39" s="4045"/>
      <c r="AM39" s="4045"/>
      <c r="AN39" s="4045"/>
      <c r="AO39" s="4045"/>
      <c r="AP39" s="4045"/>
      <c r="AQ39" s="4045"/>
      <c r="AR39" s="4045"/>
      <c r="AS39" s="4045"/>
      <c r="AT39" s="4045"/>
      <c r="AU39" s="4045"/>
      <c r="AV39" s="4045"/>
      <c r="AW39" s="4045"/>
      <c r="AX39" s="4045"/>
      <c r="AY39" s="4045"/>
      <c r="AZ39" s="4045"/>
      <c r="BA39" s="4045"/>
      <c r="BI39" s="1079">
        <v>14</v>
      </c>
    </row>
    <row r="40" spans="1:61" ht="14.65" customHeight="1">
      <c r="Q40" s="226"/>
      <c r="R40" s="310"/>
      <c r="S40" s="3889" t="s">
        <v>508</v>
      </c>
      <c r="T40" s="3889"/>
      <c r="U40" s="3889"/>
      <c r="V40" s="3889"/>
      <c r="W40" s="3889"/>
      <c r="X40" s="3889"/>
      <c r="Y40" s="3889"/>
      <c r="Z40" s="3889"/>
      <c r="AA40" s="3889"/>
      <c r="AB40" s="3889"/>
      <c r="AC40" s="3889"/>
      <c r="AD40" s="3889"/>
      <c r="AE40" s="3889"/>
      <c r="AF40" s="3889"/>
      <c r="AG40" s="3889"/>
      <c r="AH40" s="3889"/>
      <c r="AI40" s="3889"/>
      <c r="AJ40" s="3889"/>
      <c r="AK40" s="3889"/>
      <c r="AL40" s="3889"/>
      <c r="AM40" s="3889"/>
      <c r="AN40" s="3889"/>
      <c r="AO40" s="3889"/>
      <c r="AP40" s="3889"/>
      <c r="AQ40" s="3889"/>
      <c r="AR40" s="3889"/>
      <c r="AS40" s="3889"/>
      <c r="AT40" s="3889"/>
      <c r="AU40" s="3889"/>
      <c r="AV40" s="3889"/>
      <c r="AW40" s="3889"/>
      <c r="AX40" s="3889"/>
      <c r="AY40" s="3889"/>
      <c r="AZ40" s="3889"/>
      <c r="BA40" s="3889"/>
      <c r="BB40" s="3889"/>
      <c r="BC40" s="3889" t="s">
        <v>509</v>
      </c>
      <c r="BI40" s="1079">
        <v>14</v>
      </c>
    </row>
    <row r="41" spans="1:61" ht="14.65" customHeight="1">
      <c r="Q41" s="226"/>
      <c r="R41" s="310"/>
      <c r="S41" s="4046" t="s">
        <v>75</v>
      </c>
      <c r="T41" s="3995" t="s">
        <v>716</v>
      </c>
      <c r="U41" s="236"/>
      <c r="V41" s="4047" t="s">
        <v>634</v>
      </c>
      <c r="W41" s="4048"/>
      <c r="X41" s="4048"/>
      <c r="Y41" s="4048"/>
      <c r="Z41" s="4048"/>
      <c r="AA41" s="4048"/>
      <c r="AB41" s="4049"/>
      <c r="AC41" s="4050" t="s">
        <v>635</v>
      </c>
      <c r="AD41" s="4079" t="s">
        <v>717</v>
      </c>
      <c r="AE41" s="4063"/>
      <c r="AF41" s="4063"/>
      <c r="AG41" s="4080"/>
      <c r="AH41" s="4079" t="s">
        <v>718</v>
      </c>
      <c r="AI41" s="4063"/>
      <c r="AJ41" s="4063"/>
      <c r="AK41" s="4080"/>
      <c r="AL41" s="4079" t="s">
        <v>719</v>
      </c>
      <c r="AM41" s="4063"/>
      <c r="AN41" s="4063"/>
      <c r="AO41" s="4080"/>
      <c r="AP41" s="4079" t="s">
        <v>720</v>
      </c>
      <c r="AQ41" s="4063"/>
      <c r="AR41" s="4063"/>
      <c r="AS41" s="4080"/>
      <c r="AT41" s="4047" t="s">
        <v>634</v>
      </c>
      <c r="AU41" s="4048"/>
      <c r="AV41" s="4048"/>
      <c r="AW41" s="4048"/>
      <c r="AX41" s="4048"/>
      <c r="AY41" s="4048"/>
      <c r="AZ41" s="4049"/>
      <c r="BA41" s="4050" t="s">
        <v>635</v>
      </c>
      <c r="BB41" s="4053" t="s">
        <v>637</v>
      </c>
      <c r="BC41" s="3889"/>
      <c r="BI41" s="1079">
        <v>14</v>
      </c>
    </row>
    <row r="42" spans="1:61" ht="35.65" customHeight="1">
      <c r="Q42" s="226"/>
      <c r="R42" s="310"/>
      <c r="S42" s="4046"/>
      <c r="T42" s="3995"/>
      <c r="U42" s="958"/>
      <c r="V42" s="3968" t="s">
        <v>721</v>
      </c>
      <c r="W42" s="3969"/>
      <c r="X42" s="3968" t="s">
        <v>722</v>
      </c>
      <c r="Y42" s="3969"/>
      <c r="Z42" s="3968" t="s">
        <v>723</v>
      </c>
      <c r="AA42" s="4075"/>
      <c r="AB42" s="3969"/>
      <c r="AC42" s="4051"/>
      <c r="AD42" s="4081"/>
      <c r="AE42" s="4082"/>
      <c r="AF42" s="4082"/>
      <c r="AG42" s="4094"/>
      <c r="AH42" s="4081"/>
      <c r="AI42" s="4082"/>
      <c r="AJ42" s="4082"/>
      <c r="AK42" s="4094"/>
      <c r="AL42" s="4081"/>
      <c r="AM42" s="4082"/>
      <c r="AN42" s="4082"/>
      <c r="AO42" s="4094"/>
      <c r="AP42" s="4081"/>
      <c r="AQ42" s="4082"/>
      <c r="AR42" s="4082"/>
      <c r="AS42" s="4094"/>
      <c r="AT42" s="3968" t="s">
        <v>721</v>
      </c>
      <c r="AU42" s="3969"/>
      <c r="AV42" s="3968" t="s">
        <v>722</v>
      </c>
      <c r="AW42" s="3969"/>
      <c r="AX42" s="3968" t="s">
        <v>723</v>
      </c>
      <c r="AY42" s="4075"/>
      <c r="AZ42" s="3969"/>
      <c r="BA42" s="4051"/>
      <c r="BB42" s="4054"/>
      <c r="BC42" s="3889"/>
      <c r="BI42" s="1079">
        <v>34</v>
      </c>
    </row>
    <row r="43" spans="1:61" ht="14.65" customHeight="1">
      <c r="Q43" s="226"/>
      <c r="R43" s="310"/>
      <c r="S43" s="4046"/>
      <c r="T43" s="3995"/>
      <c r="U43" s="958"/>
      <c r="V43" s="3973"/>
      <c r="W43" s="3974"/>
      <c r="X43" s="3973"/>
      <c r="Y43" s="3974"/>
      <c r="Z43" s="3973"/>
      <c r="AA43" s="4076"/>
      <c r="AB43" s="3974"/>
      <c r="AC43" s="4051"/>
      <c r="AD43" s="4081"/>
      <c r="AE43" s="4082"/>
      <c r="AF43" s="4082"/>
      <c r="AG43" s="4094"/>
      <c r="AH43" s="4081"/>
      <c r="AI43" s="4082"/>
      <c r="AJ43" s="4082"/>
      <c r="AK43" s="4094"/>
      <c r="AL43" s="4081"/>
      <c r="AM43" s="4082"/>
      <c r="AN43" s="4082"/>
      <c r="AO43" s="4094"/>
      <c r="AP43" s="4081"/>
      <c r="AQ43" s="4082"/>
      <c r="AR43" s="4082"/>
      <c r="AS43" s="4094"/>
      <c r="AT43" s="3973"/>
      <c r="AU43" s="3974"/>
      <c r="AV43" s="3973"/>
      <c r="AW43" s="3974"/>
      <c r="AX43" s="3973"/>
      <c r="AY43" s="4076"/>
      <c r="AZ43" s="3974"/>
      <c r="BA43" s="4051"/>
      <c r="BB43" s="4054"/>
      <c r="BC43" s="3889"/>
      <c r="BI43" s="1079">
        <v>14</v>
      </c>
    </row>
    <row r="44" spans="1:61" ht="14.65" customHeight="1">
      <c r="A44" s="1294"/>
      <c r="B44" s="1294" t="s">
        <v>207</v>
      </c>
      <c r="C44" s="1294" t="s">
        <v>208</v>
      </c>
      <c r="D44" s="1294" t="s">
        <v>209</v>
      </c>
      <c r="E44" s="1288" t="s">
        <v>642</v>
      </c>
      <c r="F44" s="1288" t="s">
        <v>643</v>
      </c>
      <c r="G44" s="1288" t="s">
        <v>644</v>
      </c>
      <c r="H44" s="1288" t="s">
        <v>645</v>
      </c>
      <c r="I44" s="1288" t="s">
        <v>646</v>
      </c>
      <c r="J44" s="1288" t="s">
        <v>647</v>
      </c>
      <c r="K44" s="1288" t="s">
        <v>648</v>
      </c>
      <c r="L44" s="1288" t="s">
        <v>623</v>
      </c>
      <c r="Q44" s="226"/>
      <c r="R44" s="310"/>
      <c r="S44" s="4046"/>
      <c r="T44" s="3995"/>
      <c r="U44" s="237"/>
      <c r="V44" s="1403" t="s">
        <v>687</v>
      </c>
      <c r="W44" s="1403" t="s">
        <v>688</v>
      </c>
      <c r="X44" s="1403" t="s">
        <v>687</v>
      </c>
      <c r="Y44" s="1403" t="s">
        <v>688</v>
      </c>
      <c r="Z44" s="1413" t="s">
        <v>651</v>
      </c>
      <c r="AA44" s="4000" t="s">
        <v>652</v>
      </c>
      <c r="AB44" s="4013"/>
      <c r="AC44" s="4052"/>
      <c r="AD44" s="4083"/>
      <c r="AE44" s="4084"/>
      <c r="AF44" s="4084"/>
      <c r="AG44" s="4085"/>
      <c r="AH44" s="4083"/>
      <c r="AI44" s="4084"/>
      <c r="AJ44" s="4084"/>
      <c r="AK44" s="4085"/>
      <c r="AL44" s="4083"/>
      <c r="AM44" s="4084"/>
      <c r="AN44" s="4084"/>
      <c r="AO44" s="4085"/>
      <c r="AP44" s="4083"/>
      <c r="AQ44" s="4084"/>
      <c r="AR44" s="4084"/>
      <c r="AS44" s="4085"/>
      <c r="AT44" s="1403" t="s">
        <v>687</v>
      </c>
      <c r="AU44" s="1403" t="s">
        <v>688</v>
      </c>
      <c r="AV44" s="1403" t="s">
        <v>687</v>
      </c>
      <c r="AW44" s="1403" t="s">
        <v>688</v>
      </c>
      <c r="AX44" s="1413" t="s">
        <v>651</v>
      </c>
      <c r="AY44" s="4000" t="s">
        <v>652</v>
      </c>
      <c r="AZ44" s="4013"/>
      <c r="BA44" s="4052"/>
      <c r="BB44" s="4055"/>
      <c r="BC44" s="3889"/>
      <c r="BI44" s="1079">
        <v>14</v>
      </c>
    </row>
    <row r="45" spans="1:61" s="1565" customFormat="1" ht="0" hidden="1" customHeight="1">
      <c r="A45" s="1294"/>
      <c r="B45" s="1294"/>
      <c r="C45" s="1294"/>
      <c r="D45" s="1294"/>
      <c r="E45" s="1294"/>
      <c r="F45" s="1294"/>
      <c r="G45" s="1294"/>
      <c r="H45" s="1294"/>
      <c r="I45" s="1294"/>
      <c r="J45" s="1294"/>
      <c r="K45" s="1294"/>
      <c r="L45" s="1288"/>
      <c r="M45" s="1286"/>
      <c r="N45" s="1286"/>
      <c r="O45" s="1286"/>
      <c r="P45" s="444"/>
      <c r="Q45" s="1178"/>
      <c r="R45" s="1178">
        <v>1</v>
      </c>
      <c r="S45" s="1201" t="s">
        <v>184</v>
      </c>
      <c r="T45" s="1179" t="s">
        <v>89</v>
      </c>
      <c r="U45" s="1169" t="str">
        <f ca="1">OFFSET(U45,0,-1)</f>
        <v>2</v>
      </c>
      <c r="V45" s="1406">
        <f t="shared" ref="V45:AA45" ca="1" si="2">OFFSET(V45,0,-1)+1</f>
        <v>3</v>
      </c>
      <c r="W45" s="1406">
        <f t="shared" ca="1" si="2"/>
        <v>4</v>
      </c>
      <c r="X45" s="1406">
        <f t="shared" ca="1" si="2"/>
        <v>5</v>
      </c>
      <c r="Y45" s="1406">
        <f t="shared" ca="1" si="2"/>
        <v>6</v>
      </c>
      <c r="Z45" s="1406">
        <f t="shared" ca="1" si="2"/>
        <v>7</v>
      </c>
      <c r="AA45" s="4044">
        <f t="shared" ca="1" si="2"/>
        <v>8</v>
      </c>
      <c r="AB45" s="4044"/>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4044">
        <f ca="1">OFFSET(AY45,0,-1)+1</f>
        <v>3</v>
      </c>
      <c r="AZ45" s="4044"/>
      <c r="BA45" s="1406">
        <f ca="1">OFFSET(BA45,0,-2)+1</f>
        <v>4</v>
      </c>
      <c r="BB45" s="1169">
        <f ca="1">OFFSET(BB45,0,-1)</f>
        <v>4</v>
      </c>
      <c r="BC45" s="1406">
        <f ca="1">OFFSET(BC45,0,-1)+1</f>
        <v>5</v>
      </c>
      <c r="BD45" s="445"/>
      <c r="BE45" s="445"/>
      <c r="BF45" s="445"/>
      <c r="BG45" s="445"/>
      <c r="BH45" s="445"/>
      <c r="BI45" s="430">
        <v>0</v>
      </c>
    </row>
    <row r="46" spans="1:61" ht="21.95" customHeight="1">
      <c r="A46" s="1287" t="s">
        <v>469</v>
      </c>
      <c r="B46" s="1287"/>
      <c r="C46" s="1287"/>
      <c r="D46" s="1287"/>
      <c r="E46" s="4033">
        <v>1</v>
      </c>
      <c r="F46" s="1287"/>
      <c r="G46" s="1287"/>
      <c r="H46" s="1287"/>
      <c r="I46" s="1287"/>
      <c r="J46" s="1287"/>
      <c r="K46" s="1287"/>
      <c r="L46" s="1288"/>
      <c r="M46" s="1289"/>
      <c r="N46" s="1289"/>
      <c r="O46" s="1289"/>
      <c r="P46" s="1333"/>
      <c r="Q46" s="801"/>
      <c r="R46" s="289"/>
      <c r="S46" s="1417">
        <f>INDEX(PT_DIFFERENTIATION_NUM_NTAR,MATCH(A46,PT_DIFFERENTIATION_NTAR_ID,0))</f>
        <v>0</v>
      </c>
      <c r="T46" s="233" t="s">
        <v>195</v>
      </c>
      <c r="U46" s="235"/>
      <c r="V46" s="4028"/>
      <c r="W46" s="4028"/>
      <c r="X46" s="4028"/>
      <c r="Y46" s="4028"/>
      <c r="Z46" s="4028"/>
      <c r="AA46" s="4028"/>
      <c r="AB46" s="4028"/>
      <c r="AC46" s="4029"/>
      <c r="AD46" s="4027" t="str">
        <f>INDEX(PT_DIFFERENTIATION_NTAR,MATCH(A46,PT_DIFFERENTIATION_NTAR_ID,0))</f>
        <v/>
      </c>
      <c r="AE46" s="4028"/>
      <c r="AF46" s="4028"/>
      <c r="AG46" s="4028"/>
      <c r="AH46" s="4028"/>
      <c r="AI46" s="4028"/>
      <c r="AJ46" s="4028"/>
      <c r="AK46" s="4028"/>
      <c r="AL46" s="4028"/>
      <c r="AM46" s="4028"/>
      <c r="AN46" s="4028"/>
      <c r="AO46" s="4028"/>
      <c r="AP46" s="4028"/>
      <c r="AQ46" s="4028"/>
      <c r="AR46" s="4028"/>
      <c r="AS46" s="4028"/>
      <c r="AT46" s="4028"/>
      <c r="AU46" s="4028"/>
      <c r="AV46" s="4028"/>
      <c r="AW46" s="4028"/>
      <c r="AX46" s="4028"/>
      <c r="AY46" s="4028"/>
      <c r="AZ46" s="4028"/>
      <c r="BA46" s="4028"/>
      <c r="BB46" s="4029"/>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9">
        <v>21</v>
      </c>
    </row>
    <row r="47" spans="1:61" ht="21.95" customHeight="1">
      <c r="A47" s="1287" t="s">
        <v>469</v>
      </c>
      <c r="B47" s="1287" t="s">
        <v>470</v>
      </c>
      <c r="C47" s="1287"/>
      <c r="D47" s="1287"/>
      <c r="E47" s="4034"/>
      <c r="F47" s="4033">
        <v>1</v>
      </c>
      <c r="G47" s="1287"/>
      <c r="H47" s="1287"/>
      <c r="I47" s="1287"/>
      <c r="J47" s="1287"/>
      <c r="K47" s="1287"/>
      <c r="L47" s="1288"/>
      <c r="M47" s="1289"/>
      <c r="N47" s="1289"/>
      <c r="O47" s="1289"/>
      <c r="P47" s="1334"/>
      <c r="Q47" s="1335"/>
      <c r="R47" s="287"/>
      <c r="S47" s="1417" t="str">
        <f>INDEX(PT_DIFFERENTIATION_NUM_TER,MATCH(B47,PT_DIFFERENTIATION_TER_ID,0))</f>
        <v>.</v>
      </c>
      <c r="T47" s="243" t="s">
        <v>605</v>
      </c>
      <c r="U47" s="235"/>
      <c r="V47" s="4028"/>
      <c r="W47" s="4028"/>
      <c r="X47" s="4028"/>
      <c r="Y47" s="4028"/>
      <c r="Z47" s="4028"/>
      <c r="AA47" s="4028"/>
      <c r="AB47" s="4028"/>
      <c r="AC47" s="4029"/>
      <c r="AD47" s="4027" t="str">
        <f>INDEX(PT_DIFFERENTIATION_TER,MATCH(B47,PT_DIFFERENTIATION_TER_ID,0))</f>
        <v/>
      </c>
      <c r="AE47" s="4028"/>
      <c r="AF47" s="4028"/>
      <c r="AG47" s="4028"/>
      <c r="AH47" s="4028"/>
      <c r="AI47" s="4028"/>
      <c r="AJ47" s="4028"/>
      <c r="AK47" s="4028"/>
      <c r="AL47" s="4028"/>
      <c r="AM47" s="4028"/>
      <c r="AN47" s="4028"/>
      <c r="AO47" s="4028"/>
      <c r="AP47" s="4028"/>
      <c r="AQ47" s="4028"/>
      <c r="AR47" s="4028"/>
      <c r="AS47" s="4028"/>
      <c r="AT47" s="4028"/>
      <c r="AU47" s="4028"/>
      <c r="AV47" s="4028"/>
      <c r="AW47" s="4028"/>
      <c r="AX47" s="4028"/>
      <c r="AY47" s="4028"/>
      <c r="AZ47" s="4028"/>
      <c r="BA47" s="4028"/>
      <c r="BB47" s="4029"/>
      <c r="BC47" s="1182" t="s">
        <v>606</v>
      </c>
      <c r="BE47" s="434"/>
      <c r="BF47" s="434" t="str">
        <f t="shared" si="3"/>
        <v>Территория действия тарифа</v>
      </c>
      <c r="BG47" s="434"/>
      <c r="BH47" s="434"/>
      <c r="BI47" s="1079">
        <v>21</v>
      </c>
    </row>
    <row r="48" spans="1:61" ht="35.65" customHeight="1">
      <c r="A48" s="1287" t="s">
        <v>469</v>
      </c>
      <c r="B48" s="1287" t="s">
        <v>470</v>
      </c>
      <c r="C48" s="1287" t="s">
        <v>471</v>
      </c>
      <c r="D48" s="1287"/>
      <c r="E48" s="4034"/>
      <c r="F48" s="4034"/>
      <c r="G48" s="4033">
        <v>1</v>
      </c>
      <c r="H48" s="1287"/>
      <c r="I48" s="1287"/>
      <c r="J48" s="1287"/>
      <c r="K48" s="1287"/>
      <c r="L48" s="1288"/>
      <c r="M48" s="1289"/>
      <c r="N48" s="1289"/>
      <c r="O48" s="1289"/>
      <c r="P48" s="1336"/>
      <c r="Q48" s="1335"/>
      <c r="R48" s="287"/>
      <c r="S48" s="1417" t="str">
        <f>INDEX(PT_DIFFERENTIATION_NUM_CS,MATCH(C48,PT_DIFFERENTIATION_CS_ID,0))</f>
        <v>..</v>
      </c>
      <c r="T48" s="244" t="s">
        <v>739</v>
      </c>
      <c r="U48" s="235"/>
      <c r="V48" s="4028"/>
      <c r="W48" s="4028"/>
      <c r="X48" s="4028"/>
      <c r="Y48" s="4028"/>
      <c r="Z48" s="4028"/>
      <c r="AA48" s="4028"/>
      <c r="AB48" s="4028"/>
      <c r="AC48" s="4029"/>
      <c r="AD48" s="4027" t="str">
        <f>INDEX(PT_DIFFERENTIATION_CS,MATCH(C48,PT_DIFFERENTIATION_CS_ID,0))</f>
        <v/>
      </c>
      <c r="AE48" s="4028"/>
      <c r="AF48" s="4028"/>
      <c r="AG48" s="4028"/>
      <c r="AH48" s="4028"/>
      <c r="AI48" s="4028"/>
      <c r="AJ48" s="4028"/>
      <c r="AK48" s="4028"/>
      <c r="AL48" s="4028"/>
      <c r="AM48" s="4028"/>
      <c r="AN48" s="4028"/>
      <c r="AO48" s="4028"/>
      <c r="AP48" s="4028"/>
      <c r="AQ48" s="4028"/>
      <c r="AR48" s="4028"/>
      <c r="AS48" s="4028"/>
      <c r="AT48" s="4028"/>
      <c r="AU48" s="4028"/>
      <c r="AV48" s="4028"/>
      <c r="AW48" s="4028"/>
      <c r="AX48" s="4028"/>
      <c r="AY48" s="4028"/>
      <c r="AZ48" s="4028"/>
      <c r="BA48" s="4028"/>
      <c r="BB48" s="4029"/>
      <c r="BC48" s="1182" t="s">
        <v>740</v>
      </c>
      <c r="BE48" s="434"/>
      <c r="BF48" s="434" t="str">
        <f t="shared" si="3"/>
        <v>Наименование централизованной системы горячего водоснабжения</v>
      </c>
      <c r="BG48" s="434"/>
      <c r="BH48" s="434"/>
      <c r="BI48" s="1079">
        <v>34</v>
      </c>
    </row>
    <row r="49" spans="1:61" s="1566" customFormat="1" ht="0" hidden="1" customHeight="1">
      <c r="A49" s="1267" t="s">
        <v>469</v>
      </c>
      <c r="B49" s="1267" t="s">
        <v>470</v>
      </c>
      <c r="C49" s="1267" t="s">
        <v>471</v>
      </c>
      <c r="D49" s="1267" t="s">
        <v>753</v>
      </c>
      <c r="E49" s="4034"/>
      <c r="F49" s="4034"/>
      <c r="G49" s="4034"/>
      <c r="H49" s="4033">
        <v>1</v>
      </c>
      <c r="I49" s="1267"/>
      <c r="J49" s="1267"/>
      <c r="K49" s="1267"/>
      <c r="L49" s="1270"/>
      <c r="M49" s="1239"/>
      <c r="N49" s="1239"/>
      <c r="O49" s="1239"/>
      <c r="P49" s="1421"/>
      <c r="Q49" s="1422"/>
      <c r="R49" s="291"/>
      <c r="S49" s="969"/>
      <c r="T49" s="1423"/>
      <c r="U49" s="1308"/>
      <c r="V49" s="4065"/>
      <c r="W49" s="4065"/>
      <c r="X49" s="4065"/>
      <c r="Y49" s="4065"/>
      <c r="Z49" s="4065"/>
      <c r="AA49" s="4065"/>
      <c r="AB49" s="4065"/>
      <c r="AC49" s="4066"/>
      <c r="AD49" s="4064"/>
      <c r="AE49" s="4065"/>
      <c r="AF49" s="4065"/>
      <c r="AG49" s="4065"/>
      <c r="AH49" s="4065"/>
      <c r="AI49" s="4065"/>
      <c r="AJ49" s="4065"/>
      <c r="AK49" s="4065"/>
      <c r="AL49" s="4065"/>
      <c r="AM49" s="4065"/>
      <c r="AN49" s="4065"/>
      <c r="AO49" s="4065"/>
      <c r="AP49" s="4065"/>
      <c r="AQ49" s="4065"/>
      <c r="AR49" s="4065"/>
      <c r="AS49" s="4065"/>
      <c r="AT49" s="4065"/>
      <c r="AU49" s="4065"/>
      <c r="AV49" s="4065"/>
      <c r="AW49" s="4065"/>
      <c r="AX49" s="4065"/>
      <c r="AY49" s="4065"/>
      <c r="AZ49" s="4065"/>
      <c r="BA49" s="4065"/>
      <c r="BB49" s="4066"/>
      <c r="BC49" s="1309" t="s">
        <v>610</v>
      </c>
      <c r="BE49" s="434"/>
      <c r="BF49" s="434" t="str">
        <f t="shared" si="3"/>
        <v/>
      </c>
      <c r="BG49" s="434"/>
      <c r="BH49" s="434"/>
      <c r="BI49" s="445">
        <v>0</v>
      </c>
    </row>
    <row r="50" spans="1:61" s="1566" customFormat="1" ht="0" hidden="1" customHeight="1">
      <c r="A50" s="1267" t="s">
        <v>469</v>
      </c>
      <c r="B50" s="1267" t="s">
        <v>470</v>
      </c>
      <c r="C50" s="1267" t="s">
        <v>471</v>
      </c>
      <c r="D50" s="1267" t="s">
        <v>753</v>
      </c>
      <c r="E50" s="4034"/>
      <c r="F50" s="4034"/>
      <c r="G50" s="4034"/>
      <c r="H50" s="4034"/>
      <c r="I50" s="4035" t="str">
        <f>S49&amp;".1"</f>
        <v>.1</v>
      </c>
      <c r="J50" s="1267"/>
      <c r="K50" s="1267"/>
      <c r="L50" s="1270" t="s">
        <v>611</v>
      </c>
      <c r="M50" s="444"/>
      <c r="N50" s="444"/>
      <c r="O50" s="444"/>
      <c r="P50" s="4037">
        <v>1</v>
      </c>
      <c r="Q50" s="1405"/>
      <c r="R50" s="290"/>
      <c r="S50" s="969"/>
      <c r="T50" s="1307"/>
      <c r="U50" s="1308"/>
      <c r="V50" s="4065"/>
      <c r="W50" s="4065"/>
      <c r="X50" s="4065"/>
      <c r="Y50" s="4065"/>
      <c r="Z50" s="4065"/>
      <c r="AA50" s="4065"/>
      <c r="AB50" s="4065"/>
      <c r="AC50" s="4066"/>
      <c r="AD50" s="4064"/>
      <c r="AE50" s="4065"/>
      <c r="AF50" s="4065"/>
      <c r="AG50" s="4065"/>
      <c r="AH50" s="4065"/>
      <c r="AI50" s="4065"/>
      <c r="AJ50" s="4065"/>
      <c r="AK50" s="4065"/>
      <c r="AL50" s="4065"/>
      <c r="AM50" s="4065"/>
      <c r="AN50" s="4065"/>
      <c r="AO50" s="4065"/>
      <c r="AP50" s="4065"/>
      <c r="AQ50" s="4065"/>
      <c r="AR50" s="4065"/>
      <c r="AS50" s="4065"/>
      <c r="AT50" s="4065"/>
      <c r="AU50" s="4065"/>
      <c r="AV50" s="4065"/>
      <c r="AW50" s="4065"/>
      <c r="AX50" s="4065"/>
      <c r="AY50" s="4065"/>
      <c r="AZ50" s="4065"/>
      <c r="BA50" s="4065"/>
      <c r="BB50" s="4066"/>
      <c r="BC50" s="1309"/>
      <c r="BE50" s="434"/>
      <c r="BF50" s="434" t="str">
        <f t="shared" si="3"/>
        <v/>
      </c>
      <c r="BG50" s="434"/>
      <c r="BH50" s="434"/>
      <c r="BI50" s="445">
        <v>0</v>
      </c>
    </row>
    <row r="51" spans="1:61" s="1566" customFormat="1" ht="0" hidden="1" customHeight="1">
      <c r="A51" s="1267" t="s">
        <v>469</v>
      </c>
      <c r="B51" s="1267" t="s">
        <v>470</v>
      </c>
      <c r="C51" s="1267" t="s">
        <v>471</v>
      </c>
      <c r="D51" s="1267" t="s">
        <v>753</v>
      </c>
      <c r="E51" s="4034"/>
      <c r="F51" s="4034"/>
      <c r="G51" s="4034"/>
      <c r="H51" s="4034"/>
      <c r="I51" s="4036"/>
      <c r="J51" s="4035" t="str">
        <f>S49&amp;".1"</f>
        <v>.1</v>
      </c>
      <c r="K51" s="1267"/>
      <c r="L51" s="1270"/>
      <c r="M51" s="444"/>
      <c r="N51" s="444"/>
      <c r="O51" s="444"/>
      <c r="P51" s="4037"/>
      <c r="Q51" s="4037">
        <v>1</v>
      </c>
      <c r="R51" s="291"/>
      <c r="S51" s="969"/>
      <c r="T51" s="1323"/>
      <c r="U51" s="1308"/>
      <c r="V51" s="4065"/>
      <c r="W51" s="4065"/>
      <c r="X51" s="4065"/>
      <c r="Y51" s="4065"/>
      <c r="Z51" s="4065"/>
      <c r="AA51" s="4065"/>
      <c r="AB51" s="4065"/>
      <c r="AC51" s="4066"/>
      <c r="AD51" s="4064"/>
      <c r="AE51" s="4065"/>
      <c r="AF51" s="4065"/>
      <c r="AG51" s="4065"/>
      <c r="AH51" s="4065"/>
      <c r="AI51" s="4065"/>
      <c r="AJ51" s="4065"/>
      <c r="AK51" s="4065"/>
      <c r="AL51" s="4065"/>
      <c r="AM51" s="4065"/>
      <c r="AN51" s="4116"/>
      <c r="AO51" s="4116"/>
      <c r="AP51" s="4065"/>
      <c r="AQ51" s="4065"/>
      <c r="AR51" s="4065"/>
      <c r="AS51" s="4065"/>
      <c r="AT51" s="4065"/>
      <c r="AU51" s="4065"/>
      <c r="AV51" s="4065"/>
      <c r="AW51" s="4065"/>
      <c r="AX51" s="4065"/>
      <c r="AY51" s="4065"/>
      <c r="AZ51" s="4065"/>
      <c r="BA51" s="4065"/>
      <c r="BB51" s="4066"/>
      <c r="BC51" s="1309"/>
      <c r="BE51" s="434"/>
      <c r="BF51" s="434" t="str">
        <f t="shared" si="3"/>
        <v/>
      </c>
      <c r="BG51" s="434"/>
      <c r="BH51" s="434"/>
      <c r="BI51" s="445">
        <v>0</v>
      </c>
    </row>
    <row r="52" spans="1:61" ht="11.45" customHeight="1">
      <c r="A52" s="1287" t="s">
        <v>469</v>
      </c>
      <c r="B52" s="1287" t="s">
        <v>470</v>
      </c>
      <c r="C52" s="1287" t="s">
        <v>471</v>
      </c>
      <c r="D52" s="1287" t="s">
        <v>753</v>
      </c>
      <c r="E52" s="4034"/>
      <c r="F52" s="4034"/>
      <c r="G52" s="4034"/>
      <c r="H52" s="4034"/>
      <c r="I52" s="4036"/>
      <c r="J52" s="4036"/>
      <c r="K52" s="4035" t="str">
        <f>S48&amp;".1"</f>
        <v>...1</v>
      </c>
      <c r="L52" s="1288"/>
      <c r="P52" s="4037"/>
      <c r="Q52" s="4037"/>
      <c r="R52" s="291">
        <v>1</v>
      </c>
      <c r="S52" s="4090" t="str">
        <f>$K52</f>
        <v>...1</v>
      </c>
      <c r="T52" s="4110"/>
      <c r="U52" s="235"/>
      <c r="V52" s="685"/>
      <c r="W52" s="1181"/>
      <c r="X52" s="685"/>
      <c r="Y52" s="1181"/>
      <c r="Z52" s="1630"/>
      <c r="AA52" s="1393" t="s">
        <v>53</v>
      </c>
      <c r="AB52" s="1630"/>
      <c r="AC52" s="1393" t="s">
        <v>53</v>
      </c>
      <c r="AD52" s="3952" t="s">
        <v>53</v>
      </c>
      <c r="AE52" s="4086"/>
      <c r="AF52" s="3991">
        <v>1</v>
      </c>
      <c r="AG52" s="4109"/>
      <c r="AH52" s="3899" t="s">
        <v>53</v>
      </c>
      <c r="AI52" s="4086"/>
      <c r="AJ52" s="3991">
        <v>1</v>
      </c>
      <c r="AK52" s="4100" t="s">
        <v>15</v>
      </c>
      <c r="AL52" s="3899" t="s">
        <v>53</v>
      </c>
      <c r="AM52" s="3968"/>
      <c r="AN52" s="3991">
        <v>1</v>
      </c>
      <c r="AO52" s="4113"/>
      <c r="AP52" s="4114" t="s">
        <v>53</v>
      </c>
      <c r="AQ52" s="246"/>
      <c r="AR52" s="1410">
        <v>1</v>
      </c>
      <c r="AS52" s="1416" t="s">
        <v>15</v>
      </c>
      <c r="AT52" s="685"/>
      <c r="AU52" s="1181"/>
      <c r="AV52" s="685"/>
      <c r="AW52" s="1181"/>
      <c r="AX52" s="1630"/>
      <c r="AY52" s="1393" t="s">
        <v>53</v>
      </c>
      <c r="AZ52" s="1630"/>
      <c r="BA52" s="1393" t="s">
        <v>53</v>
      </c>
      <c r="BB52" s="1272"/>
      <c r="BC52" s="4056" t="s">
        <v>710</v>
      </c>
      <c r="BE52" s="434"/>
      <c r="BF52" s="434" t="str">
        <f t="shared" si="3"/>
        <v/>
      </c>
      <c r="BG52" s="434"/>
      <c r="BH52" s="434"/>
      <c r="BI52" s="1079">
        <v>11</v>
      </c>
    </row>
    <row r="53" spans="1:61" ht="11.45" customHeight="1">
      <c r="A53" s="1287"/>
      <c r="B53" s="1287"/>
      <c r="C53" s="1287"/>
      <c r="D53" s="1287"/>
      <c r="E53" s="4034"/>
      <c r="F53" s="4034"/>
      <c r="G53" s="4034"/>
      <c r="H53" s="4034"/>
      <c r="I53" s="4036"/>
      <c r="J53" s="4036"/>
      <c r="K53" s="4035"/>
      <c r="L53" s="1288"/>
      <c r="P53" s="4037"/>
      <c r="Q53" s="4037"/>
      <c r="R53" s="291"/>
      <c r="S53" s="4091"/>
      <c r="T53" s="4111"/>
      <c r="U53" s="235"/>
      <c r="V53" s="1317"/>
      <c r="W53" s="1420"/>
      <c r="X53" s="1317"/>
      <c r="Y53" s="1420"/>
      <c r="Z53" s="1317"/>
      <c r="AA53" s="1317"/>
      <c r="AB53" s="1317"/>
      <c r="AC53" s="1317"/>
      <c r="AD53" s="3953"/>
      <c r="AE53" s="4086"/>
      <c r="AF53" s="3991"/>
      <c r="AG53" s="4109"/>
      <c r="AH53" s="3899"/>
      <c r="AI53" s="4086"/>
      <c r="AJ53" s="3991"/>
      <c r="AK53" s="4100"/>
      <c r="AL53" s="3899"/>
      <c r="AM53" s="3973"/>
      <c r="AN53" s="3991"/>
      <c r="AO53" s="4113"/>
      <c r="AP53" s="4115"/>
      <c r="AQ53" s="251"/>
      <c r="AR53" s="350"/>
      <c r="AS53" s="350" t="s">
        <v>711</v>
      </c>
      <c r="AT53" s="1317"/>
      <c r="AU53" s="1420"/>
      <c r="AV53" s="1317"/>
      <c r="AW53" s="1420"/>
      <c r="AX53" s="1317"/>
      <c r="AY53" s="1317"/>
      <c r="AZ53" s="1317"/>
      <c r="BA53" s="1317"/>
      <c r="BB53" s="1321"/>
      <c r="BC53" s="4057"/>
      <c r="BE53" s="434"/>
      <c r="BF53" s="434"/>
      <c r="BG53" s="434"/>
      <c r="BH53" s="434"/>
      <c r="BI53" s="1079">
        <v>11</v>
      </c>
    </row>
    <row r="54" spans="1:61" ht="11.45" customHeight="1">
      <c r="A54" s="1287" t="s">
        <v>469</v>
      </c>
      <c r="B54" s="1287"/>
      <c r="C54" s="1287"/>
      <c r="D54" s="1287"/>
      <c r="E54" s="4034"/>
      <c r="F54" s="4034"/>
      <c r="G54" s="4034"/>
      <c r="H54" s="4034"/>
      <c r="I54" s="4036"/>
      <c r="J54" s="4036"/>
      <c r="K54" s="4035"/>
      <c r="L54" s="1288"/>
      <c r="P54" s="4037"/>
      <c r="Q54" s="4037"/>
      <c r="R54" s="291"/>
      <c r="S54" s="4091"/>
      <c r="T54" s="4111"/>
      <c r="U54" s="235"/>
      <c r="V54" s="1317"/>
      <c r="W54" s="1420"/>
      <c r="X54" s="1317"/>
      <c r="Y54" s="1420"/>
      <c r="Z54" s="1317"/>
      <c r="AA54" s="1317"/>
      <c r="AB54" s="1317"/>
      <c r="AC54" s="1317"/>
      <c r="AD54" s="3953"/>
      <c r="AE54" s="4086"/>
      <c r="AF54" s="3991"/>
      <c r="AG54" s="4109"/>
      <c r="AH54" s="3899"/>
      <c r="AI54" s="4086"/>
      <c r="AJ54" s="3991"/>
      <c r="AK54" s="4100"/>
      <c r="AL54" s="3899"/>
      <c r="AM54" s="251"/>
      <c r="AN54" s="1424"/>
      <c r="AO54" s="1424" t="s">
        <v>712</v>
      </c>
      <c r="AP54" s="350"/>
      <c r="AQ54" s="350"/>
      <c r="AR54" s="350"/>
      <c r="AS54" s="1317"/>
      <c r="AT54" s="1317"/>
      <c r="AU54" s="1420"/>
      <c r="AV54" s="1317"/>
      <c r="AW54" s="1420"/>
      <c r="AX54" s="1317"/>
      <c r="AY54" s="1317"/>
      <c r="AZ54" s="1317"/>
      <c r="BA54" s="1317"/>
      <c r="BB54" s="1321"/>
      <c r="BC54" s="4057"/>
      <c r="BE54" s="434"/>
      <c r="BF54" s="434"/>
      <c r="BG54" s="434"/>
      <c r="BH54" s="434"/>
      <c r="BI54" s="1079">
        <v>11</v>
      </c>
    </row>
    <row r="55" spans="1:61" ht="11.45" customHeight="1">
      <c r="A55" s="1287" t="s">
        <v>469</v>
      </c>
      <c r="B55" s="1287"/>
      <c r="C55" s="1287"/>
      <c r="D55" s="1287"/>
      <c r="E55" s="4034"/>
      <c r="F55" s="4034"/>
      <c r="G55" s="4034"/>
      <c r="H55" s="4034"/>
      <c r="I55" s="4036"/>
      <c r="J55" s="4036"/>
      <c r="K55" s="4035"/>
      <c r="L55" s="1288"/>
      <c r="P55" s="4037"/>
      <c r="Q55" s="4037"/>
      <c r="R55" s="291"/>
      <c r="S55" s="4091"/>
      <c r="T55" s="4111"/>
      <c r="U55" s="235"/>
      <c r="V55" s="1317"/>
      <c r="W55" s="1420"/>
      <c r="X55" s="1317"/>
      <c r="Y55" s="1420"/>
      <c r="Z55" s="1317"/>
      <c r="AA55" s="1317"/>
      <c r="AB55" s="1317"/>
      <c r="AC55" s="1317"/>
      <c r="AD55" s="3953"/>
      <c r="AE55" s="4086"/>
      <c r="AF55" s="3991"/>
      <c r="AG55" s="4109"/>
      <c r="AH55" s="3899"/>
      <c r="AI55" s="229"/>
      <c r="AJ55" s="349"/>
      <c r="AK55" s="248" t="s">
        <v>713</v>
      </c>
      <c r="AL55" s="1317"/>
      <c r="AM55" s="1317"/>
      <c r="AN55" s="1317"/>
      <c r="AO55" s="1317"/>
      <c r="AP55" s="1317"/>
      <c r="AQ55" s="1317"/>
      <c r="AR55" s="1317"/>
      <c r="AS55" s="1317"/>
      <c r="AT55" s="1317"/>
      <c r="AU55" s="1420"/>
      <c r="AV55" s="1317"/>
      <c r="AW55" s="1420"/>
      <c r="AX55" s="1317"/>
      <c r="AY55" s="1317"/>
      <c r="AZ55" s="1317"/>
      <c r="BA55" s="1317"/>
      <c r="BB55" s="1321"/>
      <c r="BC55" s="4057"/>
      <c r="BE55" s="434"/>
      <c r="BF55" s="434"/>
      <c r="BG55" s="434"/>
      <c r="BH55" s="434"/>
      <c r="BI55" s="1079">
        <v>11</v>
      </c>
    </row>
    <row r="56" spans="1:61" ht="11.45" customHeight="1">
      <c r="A56" s="1287" t="s">
        <v>469</v>
      </c>
      <c r="B56" s="1287" t="s">
        <v>470</v>
      </c>
      <c r="C56" s="1287" t="s">
        <v>471</v>
      </c>
      <c r="D56" s="1287" t="s">
        <v>753</v>
      </c>
      <c r="E56" s="4034"/>
      <c r="F56" s="4034"/>
      <c r="G56" s="4034"/>
      <c r="H56" s="4034"/>
      <c r="I56" s="4036"/>
      <c r="J56" s="4036"/>
      <c r="K56" s="4035"/>
      <c r="L56" s="1288"/>
      <c r="P56" s="4037"/>
      <c r="Q56" s="4037"/>
      <c r="R56" s="291"/>
      <c r="S56" s="4092"/>
      <c r="T56" s="4112"/>
      <c r="U56" s="235"/>
      <c r="V56" s="1317"/>
      <c r="W56" s="1318" t="str">
        <f>Z52&amp;"-"&amp;AB52</f>
        <v>-</v>
      </c>
      <c r="X56" s="1317"/>
      <c r="Y56" s="1318" t="str">
        <f>AB52&amp;"-"&amp;AD52</f>
        <v>-да</v>
      </c>
      <c r="Z56" s="1317"/>
      <c r="AA56" s="1317"/>
      <c r="AB56" s="1317"/>
      <c r="AC56" s="1317"/>
      <c r="AD56" s="3904"/>
      <c r="AE56" s="247"/>
      <c r="AF56" s="249"/>
      <c r="AG56" s="350" t="s">
        <v>714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4057"/>
      <c r="BE56" s="434"/>
      <c r="BF56" s="434" t="str">
        <f t="shared" ref="BF56:BF63" si="4">IF(T56="","",T56)</f>
        <v/>
      </c>
      <c r="BG56" s="434"/>
      <c r="BH56" s="434"/>
      <c r="BI56" s="1079">
        <v>11</v>
      </c>
    </row>
    <row r="57" spans="1:61" ht="11.45" customHeight="1">
      <c r="A57" s="1287" t="s">
        <v>469</v>
      </c>
      <c r="B57" s="1287" t="s">
        <v>470</v>
      </c>
      <c r="C57" s="1287" t="s">
        <v>471</v>
      </c>
      <c r="D57" s="1287" t="s">
        <v>753</v>
      </c>
      <c r="E57" s="4034"/>
      <c r="F57" s="4034"/>
      <c r="G57" s="4034"/>
      <c r="H57" s="4034"/>
      <c r="I57" s="4036"/>
      <c r="J57" s="4035"/>
      <c r="K57" s="1287"/>
      <c r="L57" s="1288"/>
      <c r="P57" s="4037"/>
      <c r="Q57" s="4037"/>
      <c r="R57" s="290"/>
      <c r="S57" s="1202"/>
      <c r="T57" s="222" t="s">
        <v>677</v>
      </c>
      <c r="U57" s="301"/>
      <c r="V57" s="301"/>
      <c r="W57" s="301"/>
      <c r="X57" s="301"/>
      <c r="Y57" s="301"/>
      <c r="Z57" s="301"/>
      <c r="AA57" s="301"/>
      <c r="AB57" s="301"/>
      <c r="AC57" s="259"/>
      <c r="AD57" s="1429"/>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4058"/>
      <c r="BE57" s="434"/>
      <c r="BF57" s="434" t="str">
        <f t="shared" si="4"/>
        <v>Добавить строку</v>
      </c>
      <c r="BG57" s="434"/>
      <c r="BH57" s="434"/>
      <c r="BI57" s="1079">
        <v>11</v>
      </c>
    </row>
    <row r="58" spans="1:61" s="1566" customFormat="1" ht="0" hidden="1" customHeight="1">
      <c r="A58" s="1267" t="s">
        <v>469</v>
      </c>
      <c r="B58" s="1267" t="s">
        <v>470</v>
      </c>
      <c r="C58" s="1267" t="s">
        <v>471</v>
      </c>
      <c r="D58" s="1267" t="s">
        <v>753</v>
      </c>
      <c r="E58" s="4034"/>
      <c r="F58" s="4034"/>
      <c r="G58" s="4034"/>
      <c r="H58" s="4034"/>
      <c r="I58" s="4035"/>
      <c r="J58" s="1267"/>
      <c r="K58" s="1267"/>
      <c r="L58" s="1270"/>
      <c r="M58" s="444"/>
      <c r="N58" s="444"/>
      <c r="O58" s="444"/>
      <c r="P58" s="4037"/>
      <c r="Q58" s="1405"/>
      <c r="R58" s="290"/>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4"/>
      <c r="BF58" s="434" t="str">
        <f t="shared" si="4"/>
        <v/>
      </c>
      <c r="BG58" s="434"/>
      <c r="BH58" s="434"/>
      <c r="BI58" s="445">
        <v>0</v>
      </c>
    </row>
    <row r="59" spans="1:61" s="1566" customFormat="1" ht="0" hidden="1" customHeight="1">
      <c r="A59" s="1267" t="s">
        <v>469</v>
      </c>
      <c r="B59" s="1267" t="s">
        <v>470</v>
      </c>
      <c r="C59" s="1267" t="s">
        <v>471</v>
      </c>
      <c r="D59" s="1267" t="s">
        <v>753</v>
      </c>
      <c r="E59" s="4034"/>
      <c r="F59" s="4034"/>
      <c r="G59" s="4034"/>
      <c r="H59" s="4033"/>
      <c r="I59" s="1267"/>
      <c r="J59" s="1267"/>
      <c r="K59" s="1267"/>
      <c r="L59" s="1270"/>
      <c r="M59" s="1239"/>
      <c r="N59" s="1239"/>
      <c r="O59" s="452"/>
      <c r="P59" s="314"/>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4"/>
      <c r="BF59" s="434" t="str">
        <f t="shared" si="4"/>
        <v/>
      </c>
      <c r="BG59" s="434"/>
      <c r="BH59" s="434"/>
      <c r="BI59" s="445">
        <v>0</v>
      </c>
    </row>
    <row r="60" spans="1:61" s="1566" customFormat="1" ht="0" hidden="1" customHeight="1">
      <c r="A60" s="1267" t="s">
        <v>469</v>
      </c>
      <c r="B60" s="1267" t="s">
        <v>470</v>
      </c>
      <c r="C60" s="1267" t="s">
        <v>471</v>
      </c>
      <c r="D60" s="1238"/>
      <c r="E60" s="4034"/>
      <c r="F60" s="4034"/>
      <c r="G60" s="4033"/>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7"/>
      <c r="BF60" s="717" t="str">
        <f t="shared" si="4"/>
        <v/>
      </c>
      <c r="BG60" s="717"/>
      <c r="BH60" s="717"/>
      <c r="BI60" s="452">
        <v>0</v>
      </c>
    </row>
    <row r="61" spans="1:61" s="1566" customFormat="1" ht="0" hidden="1" customHeight="1">
      <c r="A61" s="1267" t="s">
        <v>469</v>
      </c>
      <c r="B61" s="1267" t="s">
        <v>470</v>
      </c>
      <c r="C61" s="1238"/>
      <c r="D61" s="1238"/>
      <c r="E61" s="4034"/>
      <c r="F61" s="4033"/>
      <c r="G61" s="1238"/>
      <c r="H61" s="1238"/>
      <c r="I61" s="1238"/>
      <c r="J61" s="1238"/>
      <c r="K61" s="1238"/>
      <c r="L61" s="1418"/>
      <c r="M61" s="1245"/>
      <c r="N61" s="1245"/>
      <c r="P61" s="1240"/>
      <c r="Q61" s="1241"/>
      <c r="R61" s="1240"/>
      <c r="S61" s="1246"/>
      <c r="T61" s="1249" t="s">
        <v>236</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7"/>
      <c r="BF61" s="717" t="str">
        <f t="shared" si="4"/>
        <v>Добавить централизованную систему для дифференциации</v>
      </c>
      <c r="BG61" s="717"/>
      <c r="BH61" s="717"/>
      <c r="BI61" s="452">
        <v>0</v>
      </c>
    </row>
    <row r="62" spans="1:61" s="1566" customFormat="1" ht="0" hidden="1" customHeight="1">
      <c r="A62" s="1267" t="s">
        <v>469</v>
      </c>
      <c r="B62" s="1267"/>
      <c r="C62" s="1267"/>
      <c r="D62" s="1267"/>
      <c r="E62" s="4033"/>
      <c r="F62" s="1267"/>
      <c r="G62" s="1267"/>
      <c r="H62" s="1267"/>
      <c r="I62" s="1267"/>
      <c r="J62" s="1267"/>
      <c r="K62" s="1267"/>
      <c r="L62" s="1270"/>
      <c r="M62" s="1245"/>
      <c r="N62" s="1245"/>
      <c r="O62" s="452"/>
      <c r="P62" s="314"/>
      <c r="Q62" s="1268"/>
      <c r="R62" s="314"/>
      <c r="S62" s="1246"/>
      <c r="T62" s="1249" t="s">
        <v>286</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4"/>
      <c r="BF62" s="434" t="str">
        <f t="shared" si="4"/>
        <v>Добавить территорию для дифференциации</v>
      </c>
      <c r="BG62" s="434"/>
      <c r="BH62" s="434"/>
      <c r="BI62" s="445">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287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7"/>
      <c r="BF63" s="717" t="str">
        <f t="shared" si="4"/>
        <v>Добавить наименование тарифа</v>
      </c>
      <c r="BG63" s="717"/>
      <c r="BH63" s="717"/>
      <c r="BI63" s="452">
        <v>0</v>
      </c>
    </row>
    <row r="64" spans="1:61" ht="11.45" customHeight="1">
      <c r="M64" s="1084"/>
      <c r="N64" s="1084"/>
      <c r="O64" s="471"/>
      <c r="P64" s="1084"/>
      <c r="Q64" s="1084"/>
      <c r="R64" s="1079"/>
      <c r="S64" s="1079"/>
      <c r="BD64" s="1079"/>
      <c r="BE64" s="1079"/>
      <c r="BF64" s="1079"/>
      <c r="BG64" s="1079"/>
      <c r="BH64" s="1079"/>
      <c r="BI64" s="1079">
        <v>11</v>
      </c>
    </row>
    <row r="65" spans="1:61" ht="19.899999999999999" customHeight="1">
      <c r="O65" s="471"/>
      <c r="S65" s="1177"/>
      <c r="T65" s="4032"/>
      <c r="U65" s="4032"/>
      <c r="V65" s="4032"/>
      <c r="W65" s="4032"/>
      <c r="X65" s="4032"/>
      <c r="Y65" s="4032"/>
      <c r="Z65" s="4032"/>
      <c r="AA65" s="4032"/>
      <c r="AB65" s="4032"/>
      <c r="AC65" s="4032"/>
      <c r="AD65" s="4032"/>
      <c r="AE65" s="4032"/>
      <c r="AF65" s="4032"/>
      <c r="AG65" s="4032"/>
      <c r="AH65" s="4032"/>
      <c r="AI65" s="4032"/>
      <c r="AJ65" s="4032"/>
      <c r="AK65" s="4032"/>
      <c r="AL65" s="4032"/>
      <c r="AM65" s="4032"/>
      <c r="AN65" s="4032"/>
      <c r="AO65" s="4032"/>
      <c r="AP65" s="4032"/>
      <c r="AQ65" s="4032"/>
      <c r="AR65" s="4032"/>
      <c r="AS65" s="4032"/>
      <c r="AT65" s="4032"/>
      <c r="AU65" s="4032"/>
      <c r="AV65" s="4032"/>
      <c r="AW65" s="4032"/>
      <c r="AX65" s="4032"/>
      <c r="AY65" s="4032"/>
      <c r="AZ65" s="4032"/>
      <c r="BA65" s="4032"/>
      <c r="BB65" s="4032"/>
      <c r="BC65" s="4032"/>
      <c r="BI65" s="1079">
        <v>19</v>
      </c>
    </row>
    <row r="66" spans="1:61" ht="14.65" customHeight="1">
      <c r="O66" s="471"/>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9.899999999999999" customHeight="1">
      <c r="O67" s="471"/>
      <c r="S67" s="1177"/>
      <c r="T67" s="4032"/>
      <c r="U67" s="4032"/>
      <c r="V67" s="4032"/>
      <c r="W67" s="4032"/>
      <c r="X67" s="4032"/>
      <c r="Y67" s="4032"/>
      <c r="Z67" s="4032"/>
      <c r="AA67" s="4032"/>
      <c r="AB67" s="4032"/>
      <c r="AC67" s="4032"/>
      <c r="AD67" s="4032"/>
      <c r="AE67" s="4032"/>
      <c r="AF67" s="4032"/>
      <c r="AG67" s="4032"/>
      <c r="AH67" s="4032"/>
      <c r="AI67" s="4032"/>
      <c r="AJ67" s="4032"/>
      <c r="AK67" s="4032"/>
      <c r="AL67" s="4032"/>
      <c r="AM67" s="4032"/>
      <c r="AN67" s="4032"/>
      <c r="AO67" s="4032"/>
      <c r="AP67" s="4032"/>
      <c r="AQ67" s="4032"/>
      <c r="AR67" s="4032"/>
      <c r="AS67" s="4032"/>
      <c r="AT67" s="4032"/>
      <c r="AU67" s="4032"/>
      <c r="AV67" s="4032"/>
      <c r="AW67" s="4032"/>
      <c r="AX67" s="4032"/>
      <c r="AY67" s="4032"/>
      <c r="AZ67" s="4032"/>
      <c r="BA67" s="4032"/>
      <c r="BB67" s="4032"/>
      <c r="BC67" s="4032"/>
      <c r="BI67" s="1079">
        <v>19</v>
      </c>
    </row>
    <row r="68" spans="1:61" ht="14.65" customHeight="1">
      <c r="O68" s="471"/>
      <c r="BI68" s="1079">
        <v>14</v>
      </c>
    </row>
    <row r="69" spans="1:61" ht="14.25" hidden="1" customHeight="1">
      <c r="A69" s="1084" t="s">
        <v>69</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79">
        <v>3</v>
      </c>
      <c r="S69" s="515">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5">
        <v>10</v>
      </c>
      <c r="BE69" s="445">
        <v>10</v>
      </c>
      <c r="BF69" s="445">
        <v>10</v>
      </c>
      <c r="BG69" s="445">
        <v>10</v>
      </c>
      <c r="BH69" s="445">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4"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7109375"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0" customWidth="1"/>
    <col min="22" max="26" width="8" style="1290" customWidth="1"/>
    <col min="27" max="31" width="8" style="1556" customWidth="1"/>
    <col min="32" max="32" width="9.140625" style="1559" hidden="1"/>
  </cols>
  <sheetData>
    <row r="1" spans="1:32" ht="22.5" hidden="1" customHeight="1">
      <c r="AF1" s="1555" t="s">
        <v>1</v>
      </c>
    </row>
    <row r="2" spans="1:32" ht="23.25" hidden="1" customHeight="1">
      <c r="B2" s="3873"/>
      <c r="C2" s="1091" t="s">
        <v>754</v>
      </c>
      <c r="D2" s="1562"/>
      <c r="E2" s="480">
        <f>B2</f>
        <v>0</v>
      </c>
      <c r="F2" s="481"/>
      <c r="G2" s="1570" t="s">
        <v>755</v>
      </c>
      <c r="H2" s="1570" t="s">
        <v>755</v>
      </c>
      <c r="I2" s="1570" t="s">
        <v>755</v>
      </c>
      <c r="J2" s="224" t="s">
        <v>756</v>
      </c>
      <c r="K2" s="477"/>
      <c r="AF2" s="1555">
        <v>0</v>
      </c>
    </row>
    <row r="3" spans="1:32" s="1566" customFormat="1" ht="0.75" hidden="1" customHeight="1">
      <c r="B3" s="3873"/>
      <c r="C3" s="1091"/>
      <c r="D3" s="482"/>
      <c r="E3" s="483"/>
      <c r="F3" s="484" t="s">
        <v>757</v>
      </c>
      <c r="G3" s="485"/>
      <c r="H3" s="485">
        <f>H4*H5+H7</f>
        <v>0</v>
      </c>
      <c r="I3" s="485">
        <f>I4*I5+I6</f>
        <v>0</v>
      </c>
      <c r="J3" s="486"/>
      <c r="AF3" s="1560">
        <v>0</v>
      </c>
    </row>
    <row r="4" spans="1:32" ht="23.25" hidden="1" customHeight="1">
      <c r="B4" s="3873"/>
      <c r="C4" s="1091"/>
      <c r="D4" s="1562"/>
      <c r="E4" s="480" t="str">
        <f>B2&amp;".1"</f>
        <v>.1</v>
      </c>
      <c r="F4" s="487" t="s">
        <v>758</v>
      </c>
      <c r="G4" s="488"/>
      <c r="H4" s="475"/>
      <c r="I4" s="475"/>
      <c r="J4" s="224" t="s">
        <v>759</v>
      </c>
      <c r="K4" s="477"/>
      <c r="AF4" s="1555">
        <v>0</v>
      </c>
    </row>
    <row r="5" spans="1:32" ht="18.75" hidden="1" customHeight="1">
      <c r="B5" s="3873"/>
      <c r="C5" s="1091"/>
      <c r="D5" s="1562"/>
      <c r="E5" s="480" t="str">
        <f>B2&amp;".2"</f>
        <v>.2</v>
      </c>
      <c r="F5" s="487" t="s">
        <v>760</v>
      </c>
      <c r="G5" s="1570" t="s">
        <v>761</v>
      </c>
      <c r="H5" s="475"/>
      <c r="I5" s="475"/>
      <c r="J5" s="224"/>
      <c r="K5" s="477"/>
      <c r="AF5" s="1555">
        <v>0</v>
      </c>
    </row>
    <row r="6" spans="1:32" ht="18.75" hidden="1" customHeight="1">
      <c r="B6" s="3873"/>
      <c r="C6" s="1091"/>
      <c r="D6" s="1562"/>
      <c r="E6" s="480" t="str">
        <f>B2&amp;".3"</f>
        <v>.3</v>
      </c>
      <c r="F6" s="487" t="s">
        <v>762</v>
      </c>
      <c r="G6" s="1570" t="s">
        <v>761</v>
      </c>
      <c r="H6" s="475"/>
      <c r="I6" s="475"/>
      <c r="J6" s="224"/>
      <c r="K6" s="477"/>
      <c r="AF6" s="1555">
        <v>0</v>
      </c>
    </row>
    <row r="7" spans="1:32" ht="18.75" hidden="1" customHeight="1">
      <c r="B7" s="3873"/>
      <c r="C7" s="1091"/>
      <c r="D7" s="1562"/>
      <c r="E7" s="480" t="str">
        <f>B2&amp;".4"</f>
        <v>.4</v>
      </c>
      <c r="F7" s="487" t="s">
        <v>763</v>
      </c>
      <c r="G7" s="1570" t="s">
        <v>755</v>
      </c>
      <c r="H7" s="489"/>
      <c r="I7" s="489"/>
      <c r="J7" s="224"/>
      <c r="K7" s="477"/>
      <c r="AF7" s="1555">
        <v>0</v>
      </c>
    </row>
    <row r="8" spans="1:32" s="1290" customFormat="1" ht="11.25" hidden="1" customHeight="1">
      <c r="A8" s="914"/>
      <c r="C8" s="1560"/>
      <c r="D8" s="471"/>
      <c r="H8" s="1084">
        <v>4</v>
      </c>
      <c r="I8" s="1084">
        <v>4</v>
      </c>
      <c r="L8" s="1560"/>
      <c r="M8" s="1560"/>
      <c r="R8" s="1560"/>
      <c r="AF8" s="1084">
        <v>0</v>
      </c>
    </row>
    <row r="9" spans="1:32" s="1290" customFormat="1" ht="22.5" hidden="1" customHeight="1">
      <c r="A9" s="914"/>
      <c r="C9" s="1560"/>
      <c r="D9" s="472"/>
      <c r="E9" s="1572"/>
      <c r="F9" s="474"/>
      <c r="G9" s="1570" t="s">
        <v>761</v>
      </c>
      <c r="H9" s="475"/>
      <c r="I9" s="475"/>
      <c r="J9" s="476" t="s">
        <v>764</v>
      </c>
      <c r="K9" s="477"/>
      <c r="L9" s="1560"/>
      <c r="M9" s="1560"/>
      <c r="R9" s="1560"/>
      <c r="U9" s="478"/>
      <c r="AA9" s="1556"/>
      <c r="AB9" s="1556"/>
      <c r="AC9" s="1556"/>
      <c r="AD9" s="1556"/>
      <c r="AE9" s="1556"/>
      <c r="AF9" s="1084">
        <v>0</v>
      </c>
    </row>
    <row r="10" spans="1:32" ht="11.25" hidden="1" customHeight="1">
      <c r="AF10" s="1555">
        <v>0</v>
      </c>
    </row>
    <row r="11" spans="1:32" ht="18.75" hidden="1" customHeight="1">
      <c r="D11" s="1562"/>
      <c r="E11" s="480"/>
      <c r="F11" s="474"/>
      <c r="G11" s="1570" t="s">
        <v>765</v>
      </c>
      <c r="H11" s="475"/>
      <c r="I11" s="475"/>
      <c r="J11" s="224" t="s">
        <v>766</v>
      </c>
      <c r="K11" s="477"/>
      <c r="AF11" s="1555">
        <v>0</v>
      </c>
    </row>
    <row r="12" spans="1:32" ht="11.25" hidden="1" customHeight="1">
      <c r="AF12" s="1555">
        <v>0</v>
      </c>
    </row>
    <row r="13" spans="1:32" ht="22.5" hidden="1" customHeight="1">
      <c r="D13" s="1562"/>
      <c r="E13" s="480"/>
      <c r="F13" s="474"/>
      <c r="G13" s="896" t="s">
        <v>767</v>
      </c>
      <c r="H13" s="479"/>
      <c r="I13" s="479"/>
      <c r="J13" s="679" t="s">
        <v>768</v>
      </c>
      <c r="K13" s="477"/>
      <c r="AF13" s="1555">
        <v>0</v>
      </c>
    </row>
    <row r="14" spans="1:32" ht="11.25" hidden="1" customHeight="1">
      <c r="AF14" s="1555">
        <v>0</v>
      </c>
    </row>
    <row r="15" spans="1:32" ht="22.5" hidden="1" customHeight="1">
      <c r="D15" s="1562"/>
      <c r="E15" s="480"/>
      <c r="F15" s="474"/>
      <c r="G15" s="1570" t="s">
        <v>769</v>
      </c>
      <c r="H15" s="479"/>
      <c r="I15" s="479"/>
      <c r="J15" s="224" t="s">
        <v>770</v>
      </c>
      <c r="K15" s="477"/>
      <c r="AF15" s="1555">
        <v>0</v>
      </c>
    </row>
    <row r="16" spans="1:32" ht="11.25" hidden="1" customHeight="1">
      <c r="AF16" s="1555">
        <v>0</v>
      </c>
    </row>
    <row r="17" spans="1:32" ht="22.5" hidden="1" customHeight="1">
      <c r="D17" s="1562"/>
      <c r="E17" s="480"/>
      <c r="F17" s="474"/>
      <c r="G17" s="1570" t="s">
        <v>771</v>
      </c>
      <c r="H17" s="479"/>
      <c r="I17" s="479"/>
      <c r="J17" s="224" t="s">
        <v>772</v>
      </c>
      <c r="K17" s="477"/>
      <c r="AF17" s="1555">
        <v>0</v>
      </c>
    </row>
    <row r="18" spans="1:32" ht="11.25" hidden="1" customHeight="1">
      <c r="AF18" s="1555">
        <v>0</v>
      </c>
    </row>
    <row r="19" spans="1:32" s="1556" customFormat="1" ht="11.25" hidden="1" customHeight="1">
      <c r="A19" s="914"/>
      <c r="B19" s="1084"/>
      <c r="C19" s="1560"/>
      <c r="D19" s="296"/>
      <c r="J19" s="1556">
        <v>4</v>
      </c>
      <c r="K19" s="1084"/>
      <c r="L19" s="1560"/>
      <c r="M19" s="1560"/>
      <c r="N19" s="1084"/>
      <c r="O19" s="1084"/>
      <c r="P19" s="1084"/>
      <c r="Q19" s="1084"/>
      <c r="R19" s="1560"/>
      <c r="S19" s="1084"/>
      <c r="T19" s="1084"/>
      <c r="U19" s="478"/>
      <c r="V19" s="1084"/>
      <c r="W19" s="1084"/>
      <c r="X19" s="1084"/>
      <c r="Y19" s="1084"/>
      <c r="Z19" s="1084"/>
      <c r="AF19" s="1556">
        <v>0</v>
      </c>
    </row>
    <row r="20" spans="1:32" ht="11.45" customHeight="1">
      <c r="AF20" s="1555">
        <v>11</v>
      </c>
    </row>
    <row r="21" spans="1:32" ht="25.15" customHeight="1">
      <c r="E21" s="401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4014"/>
      <c r="G21" s="4014"/>
      <c r="H21" s="4014"/>
      <c r="I21" s="4014"/>
      <c r="J21" s="490"/>
      <c r="AF21" s="1555">
        <v>24</v>
      </c>
    </row>
    <row r="22" spans="1:32" ht="25.15" customHeight="1">
      <c r="E22" s="3987" t="str">
        <f>IF(org=0,"Не определено",org)</f>
        <v>ООО "Смоленскрегионтеплоэнерго"</v>
      </c>
      <c r="F22" s="3987"/>
      <c r="G22" s="3987"/>
      <c r="H22" s="3987"/>
      <c r="I22" s="3987"/>
      <c r="AF22" s="1555">
        <v>24</v>
      </c>
    </row>
    <row r="23" spans="1:32" ht="11.45" customHeight="1">
      <c r="E23" s="1059"/>
      <c r="F23" s="1059"/>
      <c r="G23" s="1059"/>
      <c r="H23" s="1059"/>
      <c r="I23" s="1059"/>
      <c r="AF23" s="1555">
        <v>11</v>
      </c>
    </row>
    <row r="24" spans="1:32" s="1566" customFormat="1" ht="1.1499999999999999" customHeight="1">
      <c r="A24" s="1091"/>
      <c r="H24" s="816"/>
      <c r="I24" s="816" t="s">
        <v>189</v>
      </c>
      <c r="AF24" s="1560">
        <v>1</v>
      </c>
    </row>
    <row r="25" spans="1:32" ht="11.45" customHeight="1">
      <c r="E25" s="645"/>
      <c r="F25" s="4120" t="s">
        <v>180</v>
      </c>
      <c r="G25" s="4121"/>
      <c r="H25" s="1576" t="str">
        <f>IF(H24="","",INDEX(DIFFERENTIATION_UNMERGE_VD,MATCH(H24,DIFFERENTIATION_ID_DIFF,0)))</f>
        <v/>
      </c>
      <c r="I25" s="1576">
        <f>IF(I24="","",INDEX(DIFFERENTIATION_UNMERGE_VD,MATCH(I24,DIFFERENTIATION_ID_DIFF,0)))</f>
        <v>0</v>
      </c>
      <c r="J25" s="3889"/>
      <c r="AF25" s="1555">
        <v>11</v>
      </c>
    </row>
    <row r="26" spans="1:32" ht="11.45" customHeight="1">
      <c r="E26" s="645"/>
      <c r="F26" s="4120" t="s">
        <v>773</v>
      </c>
      <c r="G26" s="4121"/>
      <c r="H26" s="1576" t="str">
        <f>IF(H24="","",INDEX(DIFFERENTIATION_UNMERGE_AREA,MATCH(H24,DIFFERENTIATION_ID_DIFF,0)))</f>
        <v/>
      </c>
      <c r="I26" s="1576" t="str">
        <f>IF(I24="","",INDEX(DIFFERENTIATION_UNMERGE_AREA,MATCH(I24,DIFFERENTIATION_ID_DIFF,0)))</f>
        <v/>
      </c>
      <c r="J26" s="3889"/>
      <c r="AF26" s="1555">
        <v>11</v>
      </c>
    </row>
    <row r="27" spans="1:32" ht="11.45" customHeight="1">
      <c r="E27" s="645"/>
      <c r="F27" s="4120" t="s">
        <v>774</v>
      </c>
      <c r="G27" s="4121"/>
      <c r="H27" s="1576" t="str">
        <f>IF(H24="","",INDEX(DIFFERENTIATION_UNMERGE_SYSTEM,MATCH(H24,DIFFERENTIATION_ID_DIFF,0)))</f>
        <v/>
      </c>
      <c r="I27" s="1576" t="str">
        <f>IF(I24="","",INDEX(DIFFERENTIATION_UNMERGE_SYSTEM,MATCH(I24,DIFFERENTIATION_ID_DIFF,0)))</f>
        <v>без дифференциации</v>
      </c>
      <c r="J27" s="3889"/>
      <c r="AF27" s="1555">
        <v>11</v>
      </c>
    </row>
    <row r="28" spans="1:32" ht="11.45" customHeight="1">
      <c r="E28" s="4122" t="s">
        <v>508</v>
      </c>
      <c r="F28" s="4123"/>
      <c r="G28" s="4123"/>
      <c r="H28" s="1569"/>
      <c r="I28" s="1569"/>
      <c r="J28" s="3889"/>
      <c r="AF28" s="1555">
        <v>11</v>
      </c>
    </row>
    <row r="29" spans="1:32" ht="24" customHeight="1">
      <c r="E29" s="1570" t="s">
        <v>75</v>
      </c>
      <c r="F29" s="1577" t="s">
        <v>510</v>
      </c>
      <c r="G29" s="1577" t="s">
        <v>775</v>
      </c>
      <c r="H29" s="1577" t="s">
        <v>511</v>
      </c>
      <c r="I29" s="1577" t="s">
        <v>511</v>
      </c>
      <c r="J29" s="3889"/>
      <c r="AF29" s="1555">
        <v>23</v>
      </c>
    </row>
    <row r="30" spans="1:32" ht="19.899999999999999" customHeight="1">
      <c r="D30" s="1562"/>
      <c r="E30" s="480">
        <f>FHD_NUM_P_1</f>
        <v>1</v>
      </c>
      <c r="F30" s="1775" t="str">
        <f>FHD_P_1</f>
        <v>Выручка от регулируемого вида деятельности с распределением по видам деятельности</v>
      </c>
      <c r="G30" s="1773" t="s">
        <v>761</v>
      </c>
      <c r="H30" s="491"/>
      <c r="I30" s="491"/>
      <c r="J30" s="224" t="str">
        <f>FHD_NOTE_P_1</f>
        <v>Указывается выручка от регулируемого вида деятельности с распределением по видам деятельности.</v>
      </c>
      <c r="K30" s="477"/>
      <c r="AF30" s="1555">
        <v>19</v>
      </c>
    </row>
    <row r="31" spans="1:32" ht="11.45" customHeight="1">
      <c r="D31" s="1562"/>
      <c r="E31" s="480">
        <f>FHD_NUM_P_2</f>
        <v>2</v>
      </c>
      <c r="F31" s="1775" t="str">
        <f>FHD_P_2</f>
        <v>Себестоимость производимых товаров (оказываемых услуг) по регулируемому виду деятельности, включая:</v>
      </c>
      <c r="G31" s="1773" t="s">
        <v>761</v>
      </c>
      <c r="H31" s="492">
        <f>SUMIF($K33:$K71,$K31,H33:H71)</f>
        <v>0</v>
      </c>
      <c r="I31" s="492">
        <f>SUMIF($K33:$K71,$K31,I33:I71)</f>
        <v>0</v>
      </c>
      <c r="J31" s="224" t="str">
        <f>FHD_NOTE_P_2</f>
        <v>Указывается суммарная себестоимость производимых товаров.</v>
      </c>
      <c r="K31" s="1560" t="s">
        <v>776</v>
      </c>
      <c r="AF31" s="1555">
        <v>11</v>
      </c>
    </row>
    <row r="32" spans="1:32" ht="11.45" customHeight="1">
      <c r="D32" s="1562"/>
      <c r="E32" s="480" t="str">
        <f>FHD_NUM_P_3</f>
        <v>2.1</v>
      </c>
      <c r="F32" s="1448" t="str">
        <f>FHD_P_3</f>
        <v>Расходы на приобретаемую тепловую энергию (мощность), теплоноситель</v>
      </c>
      <c r="G32" s="1773" t="s">
        <v>761</v>
      </c>
      <c r="H32" s="491"/>
      <c r="I32" s="491"/>
      <c r="J32" s="224" t="str">
        <f>FHD_NOTE_P_3</f>
        <v/>
      </c>
      <c r="K32" s="1560" t="str">
        <f t="shared" ref="K32:K70" si="0">IF((LEN(E32)-LEN(SUBSTITUTE(E32,".","")))/LEN(".")=1,"p","")</f>
        <v>p</v>
      </c>
      <c r="AF32" s="1555">
        <v>11</v>
      </c>
    </row>
    <row r="33" spans="1:32" ht="11.25" customHeight="1">
      <c r="A33" s="4118" t="s">
        <v>777</v>
      </c>
      <c r="D33" s="1562"/>
      <c r="E33" s="480" t="str">
        <f>FHD_NUM_P_4</f>
        <v>2.2</v>
      </c>
      <c r="F33" s="144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73" t="s">
        <v>761</v>
      </c>
      <c r="H33" s="492">
        <f>SUMIF($F34:$F40,$F3,H34:H40)</f>
        <v>0</v>
      </c>
      <c r="I33" s="492">
        <f>SUMIF($F34:$F40,$F3,I34:I40)</f>
        <v>0</v>
      </c>
      <c r="J33" s="224" t="str">
        <f>FHD_NOTE_P_4</f>
        <v>Указываются суммарные расходы на приобретение топлива всех видов.</v>
      </c>
      <c r="K33" s="1560" t="str">
        <f t="shared" si="0"/>
        <v>p</v>
      </c>
      <c r="AF33" s="1555">
        <v>0</v>
      </c>
    </row>
    <row r="34" spans="1:32" s="1565" customFormat="1" ht="0.75" customHeight="1">
      <c r="A34" s="4118"/>
      <c r="B34" s="4119" t="str">
        <f>E33&amp;".0"</f>
        <v>2.2.0</v>
      </c>
      <c r="C34" s="1091"/>
      <c r="D34" s="494"/>
      <c r="E34" s="495"/>
      <c r="F34" s="496"/>
      <c r="G34" s="497"/>
      <c r="H34" s="431"/>
      <c r="I34" s="431"/>
      <c r="J34" s="498"/>
      <c r="K34" s="1560" t="str">
        <f t="shared" si="0"/>
        <v/>
      </c>
      <c r="L34" s="1560"/>
      <c r="M34" s="1560"/>
      <c r="N34" s="1560"/>
      <c r="O34" s="1560"/>
      <c r="P34" s="1560"/>
      <c r="Q34" s="1560"/>
      <c r="R34" s="1560"/>
      <c r="S34" s="1560"/>
      <c r="T34" s="1560"/>
      <c r="U34" s="499"/>
      <c r="V34" s="1560"/>
      <c r="W34" s="1560"/>
      <c r="X34" s="1560"/>
      <c r="Y34" s="1560"/>
      <c r="Z34" s="1560"/>
      <c r="AA34" s="500"/>
      <c r="AB34" s="500"/>
      <c r="AC34" s="500"/>
      <c r="AD34" s="500"/>
      <c r="AE34" s="500"/>
      <c r="AF34" s="1565">
        <v>0</v>
      </c>
    </row>
    <row r="35" spans="1:32" s="1565" customFormat="1" ht="0.75" customHeight="1">
      <c r="A35" s="4118"/>
      <c r="B35" s="4119"/>
      <c r="C35" s="1091"/>
      <c r="D35" s="494"/>
      <c r="E35" s="501"/>
      <c r="F35" s="502"/>
      <c r="G35" s="497"/>
      <c r="H35" s="503"/>
      <c r="I35" s="503"/>
      <c r="J35" s="498"/>
      <c r="K35" s="1560" t="str">
        <f t="shared" si="0"/>
        <v/>
      </c>
      <c r="L35" s="1560"/>
      <c r="M35" s="1560"/>
      <c r="N35" s="1560"/>
      <c r="O35" s="1560"/>
      <c r="P35" s="1560"/>
      <c r="Q35" s="1560"/>
      <c r="R35" s="1560"/>
      <c r="S35" s="1560"/>
      <c r="T35" s="1560"/>
      <c r="U35" s="499"/>
      <c r="V35" s="1560"/>
      <c r="W35" s="1560"/>
      <c r="X35" s="1560"/>
      <c r="Y35" s="1560"/>
      <c r="Z35" s="1560"/>
      <c r="AA35" s="500"/>
      <c r="AB35" s="500"/>
      <c r="AC35" s="500"/>
      <c r="AD35" s="500"/>
      <c r="AE35" s="500"/>
      <c r="AF35" s="1565">
        <v>0</v>
      </c>
    </row>
    <row r="36" spans="1:32" s="1565" customFormat="1" ht="0.75" customHeight="1">
      <c r="A36" s="4118"/>
      <c r="B36" s="4119"/>
      <c r="C36" s="1091"/>
      <c r="D36" s="494"/>
      <c r="E36" s="501"/>
      <c r="F36" s="502"/>
      <c r="G36" s="497"/>
      <c r="H36" s="503"/>
      <c r="I36" s="503"/>
      <c r="J36" s="498"/>
      <c r="K36" s="1560" t="str">
        <f t="shared" si="0"/>
        <v/>
      </c>
      <c r="L36" s="1560"/>
      <c r="M36" s="1560"/>
      <c r="N36" s="1560"/>
      <c r="O36" s="1560"/>
      <c r="P36" s="1560"/>
      <c r="Q36" s="1560"/>
      <c r="R36" s="1560"/>
      <c r="S36" s="1560"/>
      <c r="T36" s="1560"/>
      <c r="U36" s="499"/>
      <c r="V36" s="1560"/>
      <c r="W36" s="1560"/>
      <c r="X36" s="1560"/>
      <c r="Y36" s="1560"/>
      <c r="Z36" s="1560"/>
      <c r="AA36" s="500"/>
      <c r="AB36" s="500"/>
      <c r="AC36" s="500"/>
      <c r="AD36" s="500"/>
      <c r="AE36" s="500"/>
      <c r="AF36" s="1565">
        <v>0</v>
      </c>
    </row>
    <row r="37" spans="1:32" s="1565" customFormat="1" ht="0.75" customHeight="1">
      <c r="A37" s="4118"/>
      <c r="B37" s="4119"/>
      <c r="C37" s="1091"/>
      <c r="D37" s="494"/>
      <c r="E37" s="501"/>
      <c r="F37" s="502"/>
      <c r="G37" s="497"/>
      <c r="H37" s="503"/>
      <c r="I37" s="503"/>
      <c r="J37" s="498"/>
      <c r="K37" s="1560" t="str">
        <f t="shared" si="0"/>
        <v/>
      </c>
      <c r="L37" s="1560"/>
      <c r="M37" s="1560"/>
      <c r="N37" s="1560"/>
      <c r="O37" s="1560"/>
      <c r="P37" s="1560"/>
      <c r="Q37" s="1560"/>
      <c r="R37" s="1560"/>
      <c r="S37" s="1560"/>
      <c r="T37" s="1560"/>
      <c r="U37" s="499"/>
      <c r="V37" s="1560"/>
      <c r="W37" s="1560"/>
      <c r="X37" s="1560"/>
      <c r="Y37" s="1560"/>
      <c r="Z37" s="1560"/>
      <c r="AA37" s="500"/>
      <c r="AB37" s="500"/>
      <c r="AC37" s="500"/>
      <c r="AD37" s="500"/>
      <c r="AE37" s="500"/>
      <c r="AF37" s="1565">
        <v>0</v>
      </c>
    </row>
    <row r="38" spans="1:32" s="1565" customFormat="1" ht="0.75" customHeight="1">
      <c r="A38" s="4118"/>
      <c r="B38" s="4119"/>
      <c r="C38" s="1091"/>
      <c r="D38" s="494"/>
      <c r="E38" s="501"/>
      <c r="F38" s="502"/>
      <c r="G38" s="497"/>
      <c r="H38" s="503"/>
      <c r="I38" s="503"/>
      <c r="J38" s="498"/>
      <c r="K38" s="1560" t="str">
        <f t="shared" si="0"/>
        <v/>
      </c>
      <c r="L38" s="1560"/>
      <c r="M38" s="1560"/>
      <c r="N38" s="1560"/>
      <c r="O38" s="1560"/>
      <c r="P38" s="1560"/>
      <c r="Q38" s="1560"/>
      <c r="R38" s="1560"/>
      <c r="S38" s="1560"/>
      <c r="T38" s="1560"/>
      <c r="U38" s="499"/>
      <c r="V38" s="1560"/>
      <c r="W38" s="1560"/>
      <c r="X38" s="1560"/>
      <c r="Y38" s="1560"/>
      <c r="Z38" s="1560"/>
      <c r="AA38" s="500"/>
      <c r="AB38" s="500"/>
      <c r="AC38" s="500"/>
      <c r="AD38" s="500"/>
      <c r="AE38" s="500"/>
      <c r="AF38" s="1565">
        <v>0</v>
      </c>
    </row>
    <row r="39" spans="1:32" s="1565" customFormat="1" ht="0.75" customHeight="1">
      <c r="A39" s="4118"/>
      <c r="B39" s="4119"/>
      <c r="C39" s="1091"/>
      <c r="D39" s="494"/>
      <c r="E39" s="501"/>
      <c r="F39" s="502"/>
      <c r="G39" s="497"/>
      <c r="H39" s="431"/>
      <c r="I39" s="431"/>
      <c r="J39" s="498"/>
      <c r="K39" s="1560" t="str">
        <f t="shared" si="0"/>
        <v/>
      </c>
      <c r="L39" s="1560"/>
      <c r="M39" s="1560"/>
      <c r="N39" s="1560"/>
      <c r="O39" s="1560"/>
      <c r="P39" s="1560"/>
      <c r="Q39" s="1560"/>
      <c r="R39" s="1560"/>
      <c r="S39" s="1560"/>
      <c r="T39" s="1560"/>
      <c r="U39" s="499"/>
      <c r="V39" s="1560"/>
      <c r="W39" s="1560"/>
      <c r="X39" s="1560"/>
      <c r="Y39" s="1560"/>
      <c r="Z39" s="1560"/>
      <c r="AA39" s="500"/>
      <c r="AB39" s="500"/>
      <c r="AC39" s="500"/>
      <c r="AD39" s="500"/>
      <c r="AE39" s="500"/>
      <c r="AF39" s="1565">
        <v>0</v>
      </c>
    </row>
    <row r="40" spans="1:32" s="1290" customFormat="1" ht="15" customHeight="1">
      <c r="A40" s="4118"/>
      <c r="C40" s="1560"/>
      <c r="D40" s="1557"/>
      <c r="E40" s="504"/>
      <c r="F40" s="505" t="s">
        <v>778</v>
      </c>
      <c r="G40" s="506"/>
      <c r="H40" s="507"/>
      <c r="I40" s="507"/>
      <c r="J40" s="236"/>
      <c r="K40" s="1560" t="str">
        <f t="shared" si="0"/>
        <v/>
      </c>
      <c r="L40" s="1560"/>
      <c r="M40" s="1560"/>
      <c r="R40" s="1560"/>
      <c r="U40" s="478"/>
      <c r="AA40" s="1556"/>
      <c r="AB40" s="1556"/>
      <c r="AC40" s="1556"/>
      <c r="AD40" s="1556"/>
      <c r="AE40" s="1556"/>
      <c r="AF40" s="1084">
        <v>0</v>
      </c>
    </row>
    <row r="41" spans="1:32" ht="11.25" hidden="1" customHeight="1">
      <c r="A41" s="4118" t="s">
        <v>779</v>
      </c>
      <c r="D41" s="1562"/>
      <c r="E41" s="480" t="str">
        <f>FHD_NUM_P_5</f>
        <v/>
      </c>
      <c r="F41" s="1448" t="str">
        <f>FHD_P_5</f>
        <v/>
      </c>
      <c r="G41" s="1773" t="s">
        <v>761</v>
      </c>
      <c r="H41" s="491"/>
      <c r="I41" s="491"/>
      <c r="J41" s="224" t="str">
        <f>FHD_NOTE_P_5</f>
        <v/>
      </c>
      <c r="K41" s="1560" t="str">
        <f t="shared" si="0"/>
        <v/>
      </c>
      <c r="AF41" s="1555">
        <v>0</v>
      </c>
    </row>
    <row r="42" spans="1:32" ht="11.25" hidden="1" customHeight="1">
      <c r="A42" s="4118"/>
      <c r="D42" s="1562"/>
      <c r="E42" s="480" t="str">
        <f>FHD_NUM_P_6</f>
        <v/>
      </c>
      <c r="F42" s="1448" t="str">
        <f>FHD_P_6</f>
        <v/>
      </c>
      <c r="G42" s="1773" t="s">
        <v>761</v>
      </c>
      <c r="H42" s="491"/>
      <c r="I42" s="491"/>
      <c r="J42" s="224" t="str">
        <f>FHD_NOTE_P_6</f>
        <v/>
      </c>
      <c r="K42" s="1560" t="str">
        <f t="shared" si="0"/>
        <v/>
      </c>
      <c r="AF42" s="1555">
        <v>0</v>
      </c>
    </row>
    <row r="43" spans="1:32" ht="11.25" hidden="1" customHeight="1">
      <c r="A43" s="4118"/>
      <c r="D43" s="1562"/>
      <c r="E43" s="480" t="str">
        <f>FHD_NUM_P_7</f>
        <v/>
      </c>
      <c r="F43" s="1448" t="str">
        <f>FHD_P_7</f>
        <v/>
      </c>
      <c r="G43" s="1773" t="s">
        <v>761</v>
      </c>
      <c r="H43" s="491"/>
      <c r="I43" s="491"/>
      <c r="J43" s="224" t="str">
        <f>FHD_NOTE_P_7</f>
        <v/>
      </c>
      <c r="K43" s="1560" t="str">
        <f t="shared" si="0"/>
        <v/>
      </c>
      <c r="AF43" s="1555">
        <v>0</v>
      </c>
    </row>
    <row r="44" spans="1:32" ht="11.45" customHeight="1">
      <c r="D44" s="1562"/>
      <c r="E44" s="480" t="str">
        <f>FHD_NUM_P_8</f>
        <v>2.3</v>
      </c>
      <c r="F44" s="1448" t="str">
        <f>FHD_P_8</f>
        <v>Расходы на приобретаемую электрическую энергию (мощность), используемую в технологическом процессе</v>
      </c>
      <c r="G44" s="1773" t="s">
        <v>761</v>
      </c>
      <c r="H44" s="491"/>
      <c r="I44" s="491"/>
      <c r="J44" s="224" t="str">
        <f>FHD_NOTE_P_8</f>
        <v/>
      </c>
      <c r="K44" s="1560" t="str">
        <f t="shared" si="0"/>
        <v>p</v>
      </c>
      <c r="AF44" s="1555">
        <v>11</v>
      </c>
    </row>
    <row r="45" spans="1:32" ht="11.45" customHeight="1">
      <c r="D45" s="1562"/>
      <c r="E45" s="480" t="str">
        <f>FHD_NUM_P_9</f>
        <v>2.3.1</v>
      </c>
      <c r="F45" s="1574" t="str">
        <f>FHD_P_9</f>
        <v>Средневзвешенная стоимость 1 кВт.ч (с учетом мощности)</v>
      </c>
      <c r="G45" s="1773" t="s">
        <v>780</v>
      </c>
      <c r="H45" s="491"/>
      <c r="I45" s="491"/>
      <c r="J45" s="224" t="str">
        <f>FHD_NOTE_P_9</f>
        <v/>
      </c>
      <c r="K45" s="1560" t="str">
        <f t="shared" si="0"/>
        <v/>
      </c>
      <c r="AF45" s="1555">
        <v>11</v>
      </c>
    </row>
    <row r="46" spans="1:32" s="1290" customFormat="1" ht="11.45" customHeight="1">
      <c r="A46" s="914"/>
      <c r="C46" s="1560"/>
      <c r="D46" s="508"/>
      <c r="E46" s="480" t="str">
        <f>FHD_NUM_P_10</f>
        <v>2.3.2</v>
      </c>
      <c r="F46" s="1574" t="str">
        <f>FHD_P_10</f>
        <v>Объём приобретения электрической энергии</v>
      </c>
      <c r="G46" s="1773" t="s">
        <v>781</v>
      </c>
      <c r="H46" s="491"/>
      <c r="I46" s="491"/>
      <c r="J46" s="224" t="str">
        <f>FHD_NOTE_P_10</f>
        <v/>
      </c>
      <c r="K46" s="1560" t="str">
        <f t="shared" si="0"/>
        <v/>
      </c>
      <c r="L46" s="1560"/>
      <c r="M46" s="1560"/>
      <c r="R46" s="1560"/>
      <c r="U46" s="478"/>
      <c r="AA46" s="1556"/>
      <c r="AB46" s="1556"/>
      <c r="AC46" s="1556"/>
      <c r="AD46" s="1556"/>
      <c r="AE46" s="1556"/>
      <c r="AF46" s="1084">
        <v>11</v>
      </c>
    </row>
    <row r="47" spans="1:32" s="1290" customFormat="1" ht="11.25" customHeight="1">
      <c r="A47" s="916" t="s">
        <v>782</v>
      </c>
      <c r="C47" s="1560"/>
      <c r="D47" s="509"/>
      <c r="E47" s="480" t="str">
        <f>FHD_NUM_P_11</f>
        <v>2.4</v>
      </c>
      <c r="F47" s="1448" t="str">
        <f>FHD_P_11</f>
        <v>Расходы на приобретение холодной воды, используемой в технологическом процессе</v>
      </c>
      <c r="G47" s="1773" t="s">
        <v>761</v>
      </c>
      <c r="H47" s="491"/>
      <c r="I47" s="491"/>
      <c r="J47" s="224" t="str">
        <f>FHD_NOTE_P_11</f>
        <v/>
      </c>
      <c r="K47" s="1560" t="str">
        <f t="shared" si="0"/>
        <v>p</v>
      </c>
      <c r="L47" s="1560"/>
      <c r="M47" s="1560"/>
      <c r="R47" s="1560"/>
      <c r="U47" s="478"/>
      <c r="AA47" s="1556"/>
      <c r="AB47" s="1556"/>
      <c r="AC47" s="1556"/>
      <c r="AD47" s="1556"/>
      <c r="AE47" s="1556"/>
      <c r="AF47" s="1084">
        <v>0</v>
      </c>
    </row>
    <row r="48" spans="1:32" s="1290" customFormat="1" ht="18.75" customHeight="1">
      <c r="A48" s="916" t="s">
        <v>783</v>
      </c>
      <c r="C48" s="1560"/>
      <c r="D48" s="1562"/>
      <c r="E48" s="480" t="str">
        <f>FHD_NUM_P_12</f>
        <v>2.5</v>
      </c>
      <c r="F48" s="1448" t="str">
        <f>FHD_P_12</f>
        <v>Расходы на  химические реагенты, используемые в технологическом процессе</v>
      </c>
      <c r="G48" s="1773" t="s">
        <v>761</v>
      </c>
      <c r="H48" s="511"/>
      <c r="I48" s="511"/>
      <c r="J48" s="224" t="str">
        <f>FHD_NOTE_P_12</f>
        <v/>
      </c>
      <c r="K48" s="1560" t="str">
        <f t="shared" si="0"/>
        <v>p</v>
      </c>
      <c r="L48" s="1560"/>
      <c r="M48" s="1560"/>
      <c r="R48" s="1560"/>
      <c r="U48" s="478"/>
      <c r="AA48" s="1556"/>
      <c r="AB48" s="1556"/>
      <c r="AC48" s="1556"/>
      <c r="AD48" s="1556"/>
      <c r="AE48" s="1556"/>
      <c r="AF48" s="1084">
        <v>18</v>
      </c>
    </row>
    <row r="49" spans="1:32" s="1289" customFormat="1" ht="11.45" customHeight="1">
      <c r="A49" s="915"/>
      <c r="C49" s="664"/>
      <c r="D49" s="607"/>
      <c r="E49" s="480" t="str">
        <f>FHD_NUM_P_13</f>
        <v>2.6</v>
      </c>
      <c r="F49" s="14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3" t="s">
        <v>761</v>
      </c>
      <c r="H49" s="491"/>
      <c r="I49" s="491"/>
      <c r="J49" s="224" t="str">
        <f>FHD_NOTE_P_13</f>
        <v/>
      </c>
      <c r="K49" s="1560" t="str">
        <f t="shared" si="0"/>
        <v>p</v>
      </c>
      <c r="L49" s="664"/>
      <c r="M49" s="664"/>
      <c r="R49" s="664"/>
      <c r="U49" s="665"/>
      <c r="AA49" s="666"/>
      <c r="AB49" s="666"/>
      <c r="AC49" s="666"/>
      <c r="AD49" s="666"/>
      <c r="AE49" s="666"/>
      <c r="AF49" s="663">
        <v>11</v>
      </c>
    </row>
    <row r="50" spans="1:32" s="1289" customFormat="1" ht="11.45" customHeight="1">
      <c r="A50" s="915"/>
      <c r="C50" s="664"/>
      <c r="D50" s="607"/>
      <c r="E50" s="480" t="str">
        <f>FHD_NUM_P_14</f>
        <v>2.6.1</v>
      </c>
      <c r="F50" s="1574" t="str">
        <f>FHD_P_14</f>
        <v>Расходы на оплату труда основного производственного персонала</v>
      </c>
      <c r="G50" s="1773" t="s">
        <v>761</v>
      </c>
      <c r="H50" s="491"/>
      <c r="I50" s="491"/>
      <c r="J50" s="224" t="str">
        <f>FHD_NOTE_P_14</f>
        <v/>
      </c>
      <c r="K50" s="1560" t="str">
        <f t="shared" si="0"/>
        <v/>
      </c>
      <c r="L50" s="664"/>
      <c r="M50" s="664"/>
      <c r="R50" s="664"/>
      <c r="U50" s="665"/>
      <c r="AA50" s="666"/>
      <c r="AB50" s="666"/>
      <c r="AC50" s="666"/>
      <c r="AD50" s="666"/>
      <c r="AE50" s="666"/>
      <c r="AF50" s="663">
        <v>11</v>
      </c>
    </row>
    <row r="51" spans="1:32" s="1289" customFormat="1" ht="11.45" customHeight="1">
      <c r="A51" s="915"/>
      <c r="C51" s="664"/>
      <c r="D51" s="607"/>
      <c r="E51" s="480" t="str">
        <f>FHD_NUM_P_15</f>
        <v>2.6.2</v>
      </c>
      <c r="F51" s="1574" t="str">
        <f>FHD_P_15</f>
        <v>Страховые взносы на обязательное социальное страхование, выплачиваемые из фонда оплаты труда основного производственного персонала</v>
      </c>
      <c r="G51" s="1773" t="s">
        <v>761</v>
      </c>
      <c r="H51" s="491"/>
      <c r="I51" s="491"/>
      <c r="J51" s="224" t="str">
        <f>FHD_NOTE_P_15</f>
        <v/>
      </c>
      <c r="K51" s="1560" t="str">
        <f t="shared" si="0"/>
        <v/>
      </c>
      <c r="L51" s="664"/>
      <c r="M51" s="664"/>
      <c r="R51" s="664"/>
      <c r="U51" s="665"/>
      <c r="AA51" s="666"/>
      <c r="AB51" s="666"/>
      <c r="AC51" s="666"/>
      <c r="AD51" s="666"/>
      <c r="AE51" s="666"/>
      <c r="AF51" s="663">
        <v>11</v>
      </c>
    </row>
    <row r="52" spans="1:32" s="1290" customFormat="1" ht="11.45" customHeight="1">
      <c r="A52" s="914"/>
      <c r="C52" s="1560"/>
      <c r="D52" s="1562"/>
      <c r="E52" s="480" t="str">
        <f>FHD_NUM_P_16</f>
        <v>2.7</v>
      </c>
      <c r="F52" s="14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3" t="s">
        <v>761</v>
      </c>
      <c r="H52" s="491"/>
      <c r="I52" s="491"/>
      <c r="J52" s="224" t="str">
        <f>FHD_NOTE_P_16</f>
        <v/>
      </c>
      <c r="K52" s="1560" t="str">
        <f t="shared" si="0"/>
        <v>p</v>
      </c>
      <c r="L52" s="1560"/>
      <c r="M52" s="1566"/>
      <c r="N52" s="471"/>
      <c r="O52" s="471"/>
      <c r="R52" s="1560"/>
      <c r="U52" s="478"/>
      <c r="AA52" s="1556"/>
      <c r="AB52" s="1556"/>
      <c r="AC52" s="1556"/>
      <c r="AD52" s="1556"/>
      <c r="AE52" s="1556"/>
      <c r="AF52" s="1084">
        <v>11</v>
      </c>
    </row>
    <row r="53" spans="1:32" s="1290" customFormat="1" ht="11.45" customHeight="1">
      <c r="A53" s="914"/>
      <c r="C53" s="1560"/>
      <c r="D53" s="1562"/>
      <c r="E53" s="480" t="str">
        <f>FHD_NUM_P_17</f>
        <v>2.7.1</v>
      </c>
      <c r="F53" s="1574" t="str">
        <f>FHD_P_17</f>
        <v>Расходы на оплату труда административно-управленческого персонала</v>
      </c>
      <c r="G53" s="1773" t="s">
        <v>761</v>
      </c>
      <c r="H53" s="491"/>
      <c r="I53" s="491"/>
      <c r="J53" s="224" t="str">
        <f>FHD_NOTE_P_17</f>
        <v/>
      </c>
      <c r="K53" s="1560" t="str">
        <f t="shared" si="0"/>
        <v/>
      </c>
      <c r="L53" s="1560"/>
      <c r="M53" s="1566"/>
      <c r="N53" s="471"/>
      <c r="O53" s="471"/>
      <c r="R53" s="1560"/>
      <c r="U53" s="478"/>
      <c r="AA53" s="1556"/>
      <c r="AB53" s="1556"/>
      <c r="AC53" s="1556"/>
      <c r="AD53" s="1556"/>
      <c r="AE53" s="1556"/>
      <c r="AF53" s="1084">
        <v>11</v>
      </c>
    </row>
    <row r="54" spans="1:32" s="1290" customFormat="1" ht="11.45" customHeight="1">
      <c r="A54" s="914"/>
      <c r="C54" s="1560"/>
      <c r="D54" s="1562"/>
      <c r="E54" s="480" t="str">
        <f>FHD_NUM_P_18</f>
        <v>2.7.2</v>
      </c>
      <c r="F54" s="157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3" t="s">
        <v>761</v>
      </c>
      <c r="H54" s="491"/>
      <c r="I54" s="491"/>
      <c r="J54" s="224" t="str">
        <f>FHD_NOTE_P_18</f>
        <v/>
      </c>
      <c r="K54" s="1560" t="str">
        <f t="shared" si="0"/>
        <v/>
      </c>
      <c r="L54" s="1560"/>
      <c r="M54" s="1566"/>
      <c r="N54" s="471"/>
      <c r="O54" s="471"/>
      <c r="R54" s="1560"/>
      <c r="U54" s="478"/>
      <c r="AA54" s="1556"/>
      <c r="AB54" s="1556"/>
      <c r="AC54" s="1556"/>
      <c r="AD54" s="1556"/>
      <c r="AE54" s="1556"/>
      <c r="AF54" s="1084">
        <v>11</v>
      </c>
    </row>
    <row r="55" spans="1:32" s="1290" customFormat="1" ht="11.45" customHeight="1">
      <c r="A55" s="914"/>
      <c r="C55" s="1560"/>
      <c r="D55" s="509"/>
      <c r="E55" s="480" t="str">
        <f>FHD_NUM_P_19</f>
        <v>2.8</v>
      </c>
      <c r="F55" s="1448" t="str">
        <f>FHD_P_19</f>
        <v>Расходы на амортизацию основных средств и нематериальных активов</v>
      </c>
      <c r="G55" s="1773" t="s">
        <v>761</v>
      </c>
      <c r="H55" s="491"/>
      <c r="I55" s="491"/>
      <c r="J55" s="224" t="str">
        <f>FHD_NOTE_P_19</f>
        <v/>
      </c>
      <c r="K55" s="1560" t="str">
        <f t="shared" si="0"/>
        <v>p</v>
      </c>
      <c r="L55" s="1560"/>
      <c r="M55" s="1560"/>
      <c r="R55" s="1560"/>
      <c r="U55" s="478"/>
      <c r="AA55" s="1556"/>
      <c r="AB55" s="1556"/>
      <c r="AC55" s="1556"/>
      <c r="AD55" s="1556"/>
      <c r="AE55" s="1556"/>
      <c r="AF55" s="1084">
        <v>11</v>
      </c>
    </row>
    <row r="56" spans="1:32" s="1290" customFormat="1" ht="11.45" customHeight="1">
      <c r="A56" s="914"/>
      <c r="C56" s="1560"/>
      <c r="D56" s="509"/>
      <c r="E56" s="480" t="str">
        <f>FHD_NUM_P_20</f>
        <v>2.8.1</v>
      </c>
      <c r="F56" s="1574" t="str">
        <f>FHD_P_20</f>
        <v>Расходы на амортизацию основных средств</v>
      </c>
      <c r="G56" s="1773" t="s">
        <v>761</v>
      </c>
      <c r="H56" s="491"/>
      <c r="I56" s="491"/>
      <c r="J56" s="224" t="str">
        <f>FHD_NOTE_P_20</f>
        <v/>
      </c>
      <c r="K56" s="1560" t="str">
        <f t="shared" si="0"/>
        <v/>
      </c>
      <c r="L56" s="1560"/>
      <c r="M56" s="1560"/>
      <c r="R56" s="1560"/>
      <c r="U56" s="478"/>
      <c r="AA56" s="1556"/>
      <c r="AB56" s="1556"/>
      <c r="AC56" s="1556"/>
      <c r="AD56" s="1556"/>
      <c r="AE56" s="1556"/>
      <c r="AF56" s="1084">
        <v>11</v>
      </c>
    </row>
    <row r="57" spans="1:32" s="1290" customFormat="1" ht="11.45" customHeight="1">
      <c r="A57" s="914"/>
      <c r="C57" s="1560"/>
      <c r="D57" s="509"/>
      <c r="E57" s="480" t="str">
        <f>FHD_NUM_P_21</f>
        <v>2.8.2</v>
      </c>
      <c r="F57" s="1574" t="str">
        <f>FHD_P_21</f>
        <v>Расходы на амортизацию нематериальных активов</v>
      </c>
      <c r="G57" s="1773" t="s">
        <v>761</v>
      </c>
      <c r="H57" s="491"/>
      <c r="I57" s="491"/>
      <c r="J57" s="224" t="str">
        <f>FHD_NOTE_P_21</f>
        <v/>
      </c>
      <c r="K57" s="1560" t="str">
        <f t="shared" si="0"/>
        <v/>
      </c>
      <c r="L57" s="1560"/>
      <c r="M57" s="1560"/>
      <c r="R57" s="1560"/>
      <c r="U57" s="478"/>
      <c r="AA57" s="1556"/>
      <c r="AB57" s="1556"/>
      <c r="AC57" s="1556"/>
      <c r="AD57" s="1556"/>
      <c r="AE57" s="1556"/>
      <c r="AF57" s="1084">
        <v>11</v>
      </c>
    </row>
    <row r="58" spans="1:32" s="1290" customFormat="1" ht="11.45" customHeight="1">
      <c r="A58" s="914"/>
      <c r="C58" s="1560"/>
      <c r="D58" s="1562"/>
      <c r="E58" s="480" t="str">
        <f>FHD_NUM_P_22</f>
        <v>2.9</v>
      </c>
      <c r="F58" s="1448" t="str">
        <f>FHD_P_22</f>
        <v>Расходы на аренду имущества, используемого для осуществления регулируемого вида деятельности</v>
      </c>
      <c r="G58" s="1773" t="s">
        <v>761</v>
      </c>
      <c r="H58" s="491"/>
      <c r="I58" s="491"/>
      <c r="J58" s="224" t="str">
        <f>FHD_NOTE_P_22</f>
        <v/>
      </c>
      <c r="K58" s="1560" t="str">
        <f t="shared" si="0"/>
        <v>p</v>
      </c>
      <c r="L58" s="1560"/>
      <c r="M58" s="1560"/>
      <c r="R58" s="1560"/>
      <c r="U58" s="478"/>
      <c r="AA58" s="1556"/>
      <c r="AB58" s="1556"/>
      <c r="AC58" s="1556"/>
      <c r="AD58" s="1556"/>
      <c r="AE58" s="1556"/>
      <c r="AF58" s="1084">
        <v>11</v>
      </c>
    </row>
    <row r="59" spans="1:32" s="1290" customFormat="1" ht="11.45" customHeight="1">
      <c r="A59" s="914"/>
      <c r="C59" s="1560"/>
      <c r="D59" s="509"/>
      <c r="E59" s="480" t="str">
        <f>FHD_NUM_P_23</f>
        <v>2.10</v>
      </c>
      <c r="F59" s="1448" t="str">
        <f>FHD_P_23</f>
        <v>Общепроизводственные расходы, в том числе:</v>
      </c>
      <c r="G59" s="1773" t="s">
        <v>761</v>
      </c>
      <c r="H59" s="491"/>
      <c r="I59" s="491"/>
      <c r="J59" s="224" t="str">
        <f>FHD_NOTE_P_23</f>
        <v>Указывается общая сумма общепроизводственных расходов.</v>
      </c>
      <c r="K59" s="1560" t="str">
        <f t="shared" si="0"/>
        <v>p</v>
      </c>
      <c r="L59" s="1560"/>
      <c r="M59" s="1560"/>
      <c r="R59" s="1560"/>
      <c r="U59" s="478"/>
      <c r="AA59" s="1556"/>
      <c r="AB59" s="1556"/>
      <c r="AC59" s="1556"/>
      <c r="AD59" s="1556"/>
      <c r="AE59" s="1556"/>
      <c r="AF59" s="1084">
        <v>11</v>
      </c>
    </row>
    <row r="60" spans="1:32" s="1290" customFormat="1" ht="11.45" customHeight="1">
      <c r="A60" s="914"/>
      <c r="C60" s="1560"/>
      <c r="D60" s="509"/>
      <c r="E60" s="480" t="str">
        <f>FHD_NUM_P_24</f>
        <v>2.10.1</v>
      </c>
      <c r="F60" s="1574" t="str">
        <f>FHD_P_24</f>
        <v>Расходы на текущий ремонт</v>
      </c>
      <c r="G60" s="1773" t="s">
        <v>761</v>
      </c>
      <c r="H60" s="491"/>
      <c r="I60" s="491"/>
      <c r="J60" s="224" t="str">
        <f>FHD_NOTE_P_24</f>
        <v>Указываются расходы на текущий ремонт, отнесенные к общепроизводственным расходам.</v>
      </c>
      <c r="K60" s="1560" t="str">
        <f t="shared" si="0"/>
        <v/>
      </c>
      <c r="L60" s="1560"/>
      <c r="M60" s="1560"/>
      <c r="R60" s="1560"/>
      <c r="U60" s="478"/>
      <c r="AA60" s="1556"/>
      <c r="AB60" s="1556"/>
      <c r="AC60" s="1556"/>
      <c r="AD60" s="1556"/>
      <c r="AE60" s="1556"/>
      <c r="AF60" s="1084">
        <v>11</v>
      </c>
    </row>
    <row r="61" spans="1:32" s="1290" customFormat="1" ht="11.45" customHeight="1">
      <c r="A61" s="914"/>
      <c r="C61" s="1560"/>
      <c r="D61" s="509"/>
      <c r="E61" s="480" t="str">
        <f>FHD_NUM_P_25</f>
        <v>2.10.2</v>
      </c>
      <c r="F61" s="1574" t="str">
        <f>FHD_P_25</f>
        <v>Расходы на капитальный ремонт</v>
      </c>
      <c r="G61" s="1773" t="s">
        <v>761</v>
      </c>
      <c r="H61" s="491"/>
      <c r="I61" s="491"/>
      <c r="J61" s="224" t="str">
        <f>FHD_NOTE_P_25</f>
        <v>Указываются расходы на капитальный ремонт, отнесенные к общепроизводственным расходам.</v>
      </c>
      <c r="K61" s="1560" t="str">
        <f t="shared" si="0"/>
        <v/>
      </c>
      <c r="L61" s="1560"/>
      <c r="M61" s="1560"/>
      <c r="R61" s="1560"/>
      <c r="U61" s="478"/>
      <c r="AA61" s="1556"/>
      <c r="AB61" s="1556"/>
      <c r="AC61" s="1556"/>
      <c r="AD61" s="1556"/>
      <c r="AE61" s="1556"/>
      <c r="AF61" s="1084">
        <v>11</v>
      </c>
    </row>
    <row r="62" spans="1:32" s="1290" customFormat="1" ht="11.45" customHeight="1">
      <c r="A62" s="914"/>
      <c r="C62" s="1560"/>
      <c r="D62" s="1562"/>
      <c r="E62" s="480" t="str">
        <f>FHD_NUM_P_26</f>
        <v>2.11</v>
      </c>
      <c r="F62" s="1448" t="str">
        <f>FHD_P_26</f>
        <v>Общехозяйственные расходы, в том числе:</v>
      </c>
      <c r="G62" s="1773" t="s">
        <v>761</v>
      </c>
      <c r="H62" s="491"/>
      <c r="I62" s="491"/>
      <c r="J62" s="224" t="str">
        <f>FHD_NOTE_P_26</f>
        <v>Указывается общая сумма общехозяйственных расходов.</v>
      </c>
      <c r="K62" s="1560" t="str">
        <f t="shared" si="0"/>
        <v>p</v>
      </c>
      <c r="L62" s="1560"/>
      <c r="M62" s="1560"/>
      <c r="R62" s="1560"/>
      <c r="U62" s="478"/>
      <c r="AA62" s="1556"/>
      <c r="AB62" s="1556"/>
      <c r="AC62" s="1556"/>
      <c r="AD62" s="1556"/>
      <c r="AE62" s="1556"/>
      <c r="AF62" s="1084">
        <v>11</v>
      </c>
    </row>
    <row r="63" spans="1:32" s="1290" customFormat="1" ht="11.45" customHeight="1">
      <c r="A63" s="914"/>
      <c r="C63" s="1560"/>
      <c r="D63" s="1562"/>
      <c r="E63" s="480" t="str">
        <f>FHD_NUM_P_27</f>
        <v>2.11.1</v>
      </c>
      <c r="F63" s="1574" t="str">
        <f>FHD_P_27</f>
        <v>Расходы на текущий ремонт</v>
      </c>
      <c r="G63" s="1773" t="s">
        <v>761</v>
      </c>
      <c r="H63" s="491"/>
      <c r="I63" s="491"/>
      <c r="J63" s="224" t="str">
        <f>FHD_NOTE_P_27</f>
        <v>Указываются расходы на текущий ремонт, отнесенные к общехозяйственным расходам.</v>
      </c>
      <c r="K63" s="1560" t="str">
        <f t="shared" si="0"/>
        <v/>
      </c>
      <c r="L63" s="1560"/>
      <c r="M63" s="1560"/>
      <c r="R63" s="1560"/>
      <c r="U63" s="478"/>
      <c r="AA63" s="1556"/>
      <c r="AB63" s="1556"/>
      <c r="AC63" s="1556"/>
      <c r="AD63" s="1556"/>
      <c r="AE63" s="1556"/>
      <c r="AF63" s="1084">
        <v>11</v>
      </c>
    </row>
    <row r="64" spans="1:32" s="1290" customFormat="1" ht="11.45" customHeight="1">
      <c r="A64" s="914"/>
      <c r="C64" s="1560"/>
      <c r="D64" s="1562"/>
      <c r="E64" s="480" t="str">
        <f>FHD_NUM_P_28</f>
        <v>2.11.2</v>
      </c>
      <c r="F64" s="1574" t="str">
        <f>FHD_P_28</f>
        <v>Расходы на капитальный ремонт</v>
      </c>
      <c r="G64" s="1773" t="s">
        <v>761</v>
      </c>
      <c r="H64" s="491"/>
      <c r="I64" s="491"/>
      <c r="J64" s="224" t="str">
        <f>FHD_NOTE_P_28</f>
        <v>Указываются расходы на капитальный ремонт, отнесенные к общехозяйственным расходам.</v>
      </c>
      <c r="K64" s="1560" t="str">
        <f t="shared" si="0"/>
        <v/>
      </c>
      <c r="L64" s="1560"/>
      <c r="M64" s="1560"/>
      <c r="R64" s="1560"/>
      <c r="U64" s="478"/>
      <c r="AA64" s="1556"/>
      <c r="AB64" s="1556"/>
      <c r="AC64" s="1556"/>
      <c r="AD64" s="1556"/>
      <c r="AE64" s="1556"/>
      <c r="AF64" s="1084">
        <v>11</v>
      </c>
    </row>
    <row r="65" spans="1:32" s="1290" customFormat="1" ht="11.45" customHeight="1">
      <c r="A65" s="914"/>
      <c r="C65" s="1560"/>
      <c r="D65" s="1562"/>
      <c r="E65" s="480" t="str">
        <f>FHD_NUM_P_29</f>
        <v>2.12</v>
      </c>
      <c r="F65" s="1448" t="str">
        <f>FHD_P_29</f>
        <v>Расходы на капитальный и текущий ремонт основных средств</v>
      </c>
      <c r="G65" s="1773" t="s">
        <v>761</v>
      </c>
      <c r="H65" s="491"/>
      <c r="I65" s="491"/>
      <c r="J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0" t="str">
        <f t="shared" si="0"/>
        <v>p</v>
      </c>
      <c r="L65" s="1560"/>
      <c r="M65" s="1560"/>
      <c r="R65" s="1560"/>
      <c r="U65" s="478"/>
      <c r="AA65" s="1556"/>
      <c r="AB65" s="1556"/>
      <c r="AC65" s="1556"/>
      <c r="AD65" s="1556"/>
      <c r="AE65" s="1556"/>
      <c r="AF65" s="1084">
        <v>11</v>
      </c>
    </row>
    <row r="66" spans="1:32" s="1290" customFormat="1" ht="11.45" customHeight="1">
      <c r="A66" s="914"/>
      <c r="C66" s="1560"/>
      <c r="D66" s="1562"/>
      <c r="E66" s="480" t="str">
        <f>FHD_NUM_P_30</f>
        <v>2.12.1</v>
      </c>
      <c r="F66" s="157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3" t="s">
        <v>514</v>
      </c>
      <c r="H66" s="1573" t="s">
        <v>784</v>
      </c>
      <c r="I66" s="1573" t="s">
        <v>784</v>
      </c>
      <c r="J66" s="224" t="str">
        <f>FHD_NOTE_P_30</f>
        <v/>
      </c>
      <c r="K66" s="1560" t="str">
        <f t="shared" si="0"/>
        <v/>
      </c>
      <c r="L66" s="1560">
        <f>IFERROR(MATCH("есть",B_FHD_FLAG_INDEX_1,0),0)</f>
        <v>0</v>
      </c>
      <c r="M66" s="1560"/>
      <c r="R66" s="1560"/>
      <c r="U66" s="478"/>
      <c r="AA66" s="1556"/>
      <c r="AB66" s="1556"/>
      <c r="AC66" s="1556"/>
      <c r="AD66" s="1556"/>
      <c r="AE66" s="1556"/>
      <c r="AF66" s="1084">
        <v>11</v>
      </c>
    </row>
    <row r="67" spans="1:32" s="1290" customFormat="1" ht="23.25" hidden="1" customHeight="1">
      <c r="A67" s="4118" t="s">
        <v>785</v>
      </c>
      <c r="C67" s="1560"/>
      <c r="D67" s="1562"/>
      <c r="E67" s="480" t="str">
        <f>FHD_NUM_P_31</f>
        <v/>
      </c>
      <c r="F67" s="1448" t="str">
        <f>FHD_P_31</f>
        <v/>
      </c>
      <c r="G67" s="1773" t="s">
        <v>761</v>
      </c>
      <c r="H67" s="491"/>
      <c r="I67" s="491"/>
      <c r="J67" s="224" t="str">
        <f>FHD_NOTE_P_31</f>
        <v/>
      </c>
      <c r="K67" s="1560" t="str">
        <f t="shared" si="0"/>
        <v/>
      </c>
      <c r="L67" s="1560"/>
      <c r="M67" s="1560"/>
      <c r="R67" s="1560"/>
      <c r="U67" s="478"/>
      <c r="AA67" s="1556"/>
      <c r="AB67" s="1556"/>
      <c r="AC67" s="1556"/>
      <c r="AD67" s="1556"/>
      <c r="AE67" s="1556"/>
      <c r="AF67" s="1084">
        <v>22</v>
      </c>
    </row>
    <row r="68" spans="1:32" s="1290" customFormat="1" ht="47.25" hidden="1" customHeight="1">
      <c r="A68" s="4118"/>
      <c r="C68" s="1560"/>
      <c r="D68" s="1562"/>
      <c r="E68" s="480" t="str">
        <f>FHD_NUM_P_32</f>
        <v/>
      </c>
      <c r="F68" s="1574" t="str">
        <f>FHD_P_32</f>
        <v/>
      </c>
      <c r="G68" s="1773" t="s">
        <v>514</v>
      </c>
      <c r="H68" s="1573" t="s">
        <v>784</v>
      </c>
      <c r="I68" s="1573" t="s">
        <v>784</v>
      </c>
      <c r="J68" s="224" t="str">
        <f>FHD_NOTE_P_32</f>
        <v/>
      </c>
      <c r="K68" s="1560" t="str">
        <f t="shared" si="0"/>
        <v/>
      </c>
      <c r="L68" s="1560">
        <f>IFERROR(MATCH("есть",B_FHD_FLAG_INDEX_2,0),0)</f>
        <v>0</v>
      </c>
      <c r="M68" s="1560"/>
      <c r="R68" s="1560"/>
      <c r="U68" s="478"/>
      <c r="AA68" s="1556"/>
      <c r="AB68" s="1556"/>
      <c r="AC68" s="1556"/>
      <c r="AD68" s="1556"/>
      <c r="AE68" s="1556"/>
      <c r="AF68" s="1084">
        <v>45</v>
      </c>
    </row>
    <row r="69" spans="1:32" s="1290" customFormat="1" ht="11.45" customHeight="1">
      <c r="A69" s="914"/>
      <c r="C69" s="1560"/>
      <c r="D69" s="1562"/>
      <c r="E69" s="480" t="str">
        <f>FHD_NUM_P_33</f>
        <v>2.13</v>
      </c>
      <c r="F69" s="1448"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74" t="s">
        <v>761</v>
      </c>
      <c r="H69" s="513">
        <f>SUM(H70:H71)</f>
        <v>0</v>
      </c>
      <c r="I69" s="513">
        <f>SUM(I70:I71)</f>
        <v>0</v>
      </c>
      <c r="J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0" t="str">
        <f t="shared" si="0"/>
        <v>p</v>
      </c>
      <c r="L69" s="1560"/>
      <c r="M69" s="1560"/>
      <c r="R69" s="1560"/>
      <c r="U69" s="478"/>
      <c r="AA69" s="1556"/>
      <c r="AB69" s="1556"/>
      <c r="AC69" s="1556"/>
      <c r="AD69" s="1556"/>
      <c r="AE69" s="1556"/>
      <c r="AF69" s="1084">
        <v>11</v>
      </c>
    </row>
    <row r="70" spans="1:32" s="1566" customFormat="1" ht="1.1499999999999999" customHeight="1">
      <c r="A70" s="1091"/>
      <c r="D70" s="482"/>
      <c r="E70" s="940" t="str">
        <f>E69&amp;".0"</f>
        <v>2.13.0</v>
      </c>
      <c r="F70" s="918"/>
      <c r="G70" s="940"/>
      <c r="H70" s="919"/>
      <c r="I70" s="919"/>
      <c r="J70" s="920"/>
      <c r="K70" s="1560" t="str">
        <f t="shared" si="0"/>
        <v/>
      </c>
      <c r="AF70" s="1560">
        <v>1</v>
      </c>
    </row>
    <row r="71" spans="1:32" s="1290" customFormat="1" ht="14.65" customHeight="1">
      <c r="A71" s="914"/>
      <c r="C71" s="1560"/>
      <c r="D71" s="1557"/>
      <c r="E71" s="504"/>
      <c r="F71" s="505" t="s">
        <v>786</v>
      </c>
      <c r="G71" s="506"/>
      <c r="H71" s="507"/>
      <c r="I71" s="507"/>
      <c r="J71" s="236"/>
      <c r="K71" s="1560"/>
      <c r="L71" s="1560"/>
      <c r="M71" s="1560"/>
      <c r="R71" s="1560"/>
      <c r="U71" s="478"/>
      <c r="AA71" s="1556"/>
      <c r="AB71" s="1556"/>
      <c r="AC71" s="1556"/>
      <c r="AD71" s="1556"/>
      <c r="AE71" s="1556"/>
      <c r="AF71" s="1084">
        <v>14</v>
      </c>
    </row>
    <row r="72" spans="1:32" s="1290" customFormat="1" ht="18.75" customHeight="1">
      <c r="A72" s="916" t="s">
        <v>787</v>
      </c>
      <c r="C72" s="1560"/>
      <c r="D72" s="1562"/>
      <c r="E72" s="480" t="str">
        <f>FHD_NUM_P_34</f>
        <v>3</v>
      </c>
      <c r="F72" s="1775" t="str">
        <f>FHD_P_34</f>
        <v>Валовая прибыль (убытки) от реализации товаров и оказания услуг по регулируемому виду деятельности</v>
      </c>
      <c r="G72" s="1773" t="s">
        <v>761</v>
      </c>
      <c r="H72" s="491"/>
      <c r="I72" s="491"/>
      <c r="J72" s="224" t="str">
        <f>FHD_NOTE_P_34</f>
        <v/>
      </c>
      <c r="K72" s="477"/>
      <c r="L72" s="1560"/>
      <c r="M72" s="1560"/>
      <c r="R72" s="1560"/>
      <c r="U72" s="478"/>
      <c r="AA72" s="1556"/>
      <c r="AB72" s="1556"/>
      <c r="AC72" s="1556"/>
      <c r="AD72" s="1556"/>
      <c r="AE72" s="1556"/>
      <c r="AF72" s="1084">
        <v>0</v>
      </c>
    </row>
    <row r="73" spans="1:32" s="1290" customFormat="1" ht="19.899999999999999" customHeight="1">
      <c r="A73" s="914"/>
      <c r="C73" s="1560"/>
      <c r="D73" s="509"/>
      <c r="E73" s="480" t="str">
        <f>FHD_NUM_P_35</f>
        <v>4</v>
      </c>
      <c r="F73" s="1775" t="str">
        <f>FHD_P_35</f>
        <v>Чистая прибыль, полученная от регулируемого вида деятельности, в том числе:</v>
      </c>
      <c r="G73" s="1773" t="s">
        <v>761</v>
      </c>
      <c r="H73" s="491"/>
      <c r="I73" s="491"/>
      <c r="J73" s="224" t="str">
        <f>FHD_NOTE_P_35</f>
        <v>Указывается общая сумма чистой прибыли, полученной от регулируемого вида деятельности.</v>
      </c>
      <c r="K73" s="477"/>
      <c r="L73" s="1560"/>
      <c r="M73" s="1560"/>
      <c r="R73" s="1560"/>
      <c r="U73" s="478"/>
      <c r="AA73" s="1556"/>
      <c r="AB73" s="1556"/>
      <c r="AC73" s="1556"/>
      <c r="AD73" s="1556"/>
      <c r="AE73" s="1556"/>
      <c r="AF73" s="1084">
        <v>19</v>
      </c>
    </row>
    <row r="74" spans="1:32" s="1290" customFormat="1" ht="19.899999999999999" customHeight="1">
      <c r="A74" s="914"/>
      <c r="C74" s="1560"/>
      <c r="D74" s="1562"/>
      <c r="E74" s="480" t="str">
        <f>FHD_NUM_P_36</f>
        <v>4.1</v>
      </c>
      <c r="F74" s="144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3" t="s">
        <v>761</v>
      </c>
      <c r="H74" s="491"/>
      <c r="I74" s="491"/>
      <c r="J74" s="224" t="str">
        <f>FHD_NOTE_P_36</f>
        <v/>
      </c>
      <c r="K74" s="477"/>
      <c r="L74" s="1560"/>
      <c r="M74" s="1560"/>
      <c r="R74" s="1560"/>
      <c r="U74" s="478"/>
      <c r="AA74" s="1556"/>
      <c r="AB74" s="1556"/>
      <c r="AC74" s="1556"/>
      <c r="AD74" s="1556"/>
      <c r="AE74" s="1556"/>
      <c r="AF74" s="1084">
        <v>19</v>
      </c>
    </row>
    <row r="75" spans="1:32" s="1290" customFormat="1" ht="19.899999999999999" customHeight="1">
      <c r="A75" s="914"/>
      <c r="C75" s="1560"/>
      <c r="D75" s="1562"/>
      <c r="E75" s="480" t="str">
        <f>FHD_NUM_P_37</f>
        <v>5</v>
      </c>
      <c r="F75" s="1775" t="str">
        <f>FHD_P_37</f>
        <v>Изменение стоимости основных фондов, в том числе:</v>
      </c>
      <c r="G75" s="1773" t="s">
        <v>761</v>
      </c>
      <c r="H75" s="491"/>
      <c r="I75" s="491"/>
      <c r="J75" s="224" t="str">
        <f>FHD_NOTE_P_37</f>
        <v>Указывается общее изменение стоимости основных фондов.</v>
      </c>
      <c r="K75" s="477"/>
      <c r="L75" s="1560"/>
      <c r="M75" s="1560"/>
      <c r="R75" s="1560"/>
      <c r="U75" s="478"/>
      <c r="AA75" s="1556"/>
      <c r="AB75" s="1556"/>
      <c r="AC75" s="1556"/>
      <c r="AD75" s="1556"/>
      <c r="AE75" s="1556"/>
      <c r="AF75" s="1084">
        <v>19</v>
      </c>
    </row>
    <row r="76" spans="1:32" s="1290" customFormat="1" ht="19.899999999999999" customHeight="1">
      <c r="A76" s="914"/>
      <c r="C76" s="1560"/>
      <c r="D76" s="1562"/>
      <c r="E76" s="480" t="str">
        <f>FHD_NUM_P_38</f>
        <v>5.1</v>
      </c>
      <c r="F76" s="1448" t="str">
        <f>FHD_P_38</f>
        <v>Изменение стоимости основных фондов за счет:</v>
      </c>
      <c r="G76" s="1773" t="s">
        <v>761</v>
      </c>
      <c r="H76" s="491"/>
      <c r="I76" s="491"/>
      <c r="J76" s="224" t="str">
        <f>FHD_NOTE_P_38</f>
        <v>Указываются общее изменение стоимости основных фондов за счет их ввода в эксплуатацию и вывода из эксплуатации.</v>
      </c>
      <c r="K76" s="477"/>
      <c r="L76" s="1560"/>
      <c r="M76" s="1560"/>
      <c r="R76" s="1560"/>
      <c r="U76" s="478"/>
      <c r="AA76" s="1556"/>
      <c r="AB76" s="1556"/>
      <c r="AC76" s="1556"/>
      <c r="AD76" s="1556"/>
      <c r="AE76" s="1556"/>
      <c r="AF76" s="1084">
        <v>19</v>
      </c>
    </row>
    <row r="77" spans="1:32" s="1290" customFormat="1" ht="19.899999999999999" customHeight="1">
      <c r="A77" s="914"/>
      <c r="C77" s="1560"/>
      <c r="D77" s="1562"/>
      <c r="E77" s="480" t="str">
        <f>FHD_NUM_P_39</f>
        <v>5.1.1</v>
      </c>
      <c r="F77" s="1574" t="str">
        <f>FHD_P_39</f>
        <v>Изменения стоимости основных фондов за счет их ввода в эксплуатацию</v>
      </c>
      <c r="G77" s="1964" t="s">
        <v>761</v>
      </c>
      <c r="H77" s="491"/>
      <c r="I77" s="491"/>
      <c r="J77" s="224" t="str">
        <f>FHD_NOTE_P_39</f>
        <v>Указываются изменение стоимости основных фондов за счет их ввода в эксплуатацию.</v>
      </c>
      <c r="K77" s="477"/>
      <c r="L77" s="1560"/>
      <c r="M77" s="1560"/>
      <c r="R77" s="1560"/>
      <c r="U77" s="478"/>
      <c r="AA77" s="1556"/>
      <c r="AB77" s="1556"/>
      <c r="AC77" s="1556"/>
      <c r="AD77" s="1556"/>
      <c r="AE77" s="1556"/>
      <c r="AF77" s="1084">
        <v>19</v>
      </c>
    </row>
    <row r="78" spans="1:32" s="1290" customFormat="1" ht="19.899999999999999" customHeight="1">
      <c r="A78" s="914"/>
      <c r="C78" s="1560"/>
      <c r="D78" s="1562"/>
      <c r="E78" s="480" t="str">
        <f>FHD_NUM_P_40</f>
        <v>5.1.2</v>
      </c>
      <c r="F78" s="1968" t="str">
        <f>FHD_P_40</f>
        <v>Изменения стоимости основных фондов за счет их вывода в эксплуатацию</v>
      </c>
      <c r="G78" s="1963" t="s">
        <v>761</v>
      </c>
      <c r="H78" s="903"/>
      <c r="I78" s="491"/>
      <c r="J78" s="224" t="str">
        <f>FHD_NOTE_P_40</f>
        <v>Указываются изменение стоимости основных фондов за счет их вывода из эксплуатации.</v>
      </c>
      <c r="K78" s="477"/>
      <c r="L78" s="1560"/>
      <c r="M78" s="1560"/>
      <c r="R78" s="1560"/>
      <c r="U78" s="478"/>
      <c r="AA78" s="1556"/>
      <c r="AB78" s="1556"/>
      <c r="AC78" s="1556"/>
      <c r="AD78" s="1556"/>
      <c r="AE78" s="1556"/>
      <c r="AF78" s="1084">
        <v>19</v>
      </c>
    </row>
    <row r="79" spans="1:32" s="1290" customFormat="1" ht="19.899999999999999" customHeight="1">
      <c r="A79" s="914"/>
      <c r="C79" s="1560"/>
      <c r="D79" s="1562"/>
      <c r="E79" s="480" t="str">
        <f>FHD_NUM_P_41</f>
        <v>5.2</v>
      </c>
      <c r="F79" s="1967" t="str">
        <f>FHD_P_41</f>
        <v>Изменение стоимости основных фондов за счет их переоценки</v>
      </c>
      <c r="G79" s="1963" t="s">
        <v>761</v>
      </c>
      <c r="H79" s="903"/>
      <c r="I79" s="491"/>
      <c r="J79" s="224" t="str">
        <f>FHD_NOTE_P_41</f>
        <v/>
      </c>
      <c r="K79" s="477"/>
      <c r="L79" s="1560"/>
      <c r="M79" s="1560"/>
      <c r="R79" s="1560"/>
      <c r="U79" s="478"/>
      <c r="AA79" s="1556"/>
      <c r="AB79" s="1556"/>
      <c r="AC79" s="1556"/>
      <c r="AD79" s="1556"/>
      <c r="AE79" s="1556"/>
      <c r="AF79" s="1084">
        <v>19</v>
      </c>
    </row>
    <row r="80" spans="1:32" s="1290" customFormat="1" ht="20.25" hidden="1" customHeight="1">
      <c r="A80" s="916" t="s">
        <v>788</v>
      </c>
      <c r="C80" s="1560"/>
      <c r="D80" s="1562"/>
      <c r="E80" s="480" t="str">
        <f>FHD_NUM_P_42</f>
        <v/>
      </c>
      <c r="F80" s="1965" t="str">
        <f>FHD_P_42</f>
        <v/>
      </c>
      <c r="G80" s="1963" t="s">
        <v>761</v>
      </c>
      <c r="H80" s="903"/>
      <c r="I80" s="491"/>
      <c r="J80" s="224" t="str">
        <f>FHD_NOTE_P_42</f>
        <v/>
      </c>
      <c r="K80" s="477"/>
      <c r="L80" s="1560"/>
      <c r="M80" s="1560"/>
      <c r="R80" s="1560"/>
      <c r="U80" s="478"/>
      <c r="AA80" s="1556"/>
      <c r="AB80" s="1556"/>
      <c r="AC80" s="1556"/>
      <c r="AD80" s="1556"/>
      <c r="AE80" s="1556"/>
      <c r="AF80" s="1084">
        <v>19</v>
      </c>
    </row>
    <row r="81" spans="1:32" s="1290" customFormat="1" ht="19.899999999999999" customHeight="1">
      <c r="A81" s="914"/>
      <c r="C81" s="1560"/>
      <c r="D81" s="1562"/>
      <c r="E81" s="480" t="str">
        <f>FHD_NUM_P_43</f>
        <v>6</v>
      </c>
      <c r="F81" s="1775" t="str">
        <f>FHD_P_43</f>
        <v>Годовая бухгалтерская (финансовая) отчетность, включая бухгалтерский баланс и приложения к нему</v>
      </c>
      <c r="G81" s="1966" t="s">
        <v>514</v>
      </c>
      <c r="H81" s="982"/>
      <c r="I81" s="746"/>
      <c r="J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7"/>
      <c r="L81" s="1560"/>
      <c r="M81" s="1560"/>
      <c r="R81" s="1560"/>
      <c r="U81" s="478"/>
      <c r="AA81" s="1556"/>
      <c r="AB81" s="1556"/>
      <c r="AC81" s="1556"/>
      <c r="AD81" s="1556"/>
      <c r="AE81" s="1556"/>
      <c r="AF81" s="1084">
        <v>19</v>
      </c>
    </row>
    <row r="82" spans="1:32" s="1290" customFormat="1" ht="18.75" hidden="1" customHeight="1">
      <c r="A82" s="4118" t="s">
        <v>789</v>
      </c>
      <c r="C82" s="669"/>
      <c r="D82" s="667"/>
      <c r="E82" s="480" t="str">
        <f>FHD_NUM_P_44</f>
        <v/>
      </c>
      <c r="F82" s="1775" t="str">
        <f>FHD_P_44</f>
        <v/>
      </c>
      <c r="G82" s="1776" t="s">
        <v>790</v>
      </c>
      <c r="H82" s="904"/>
      <c r="I82" s="511"/>
      <c r="J82" s="224" t="str">
        <f>FHD_NOTE_P_44</f>
        <v/>
      </c>
      <c r="K82" s="668"/>
      <c r="L82" s="669"/>
      <c r="M82" s="669"/>
      <c r="R82" s="669"/>
      <c r="U82" s="670"/>
      <c r="AA82" s="671"/>
      <c r="AB82" s="671"/>
      <c r="AC82" s="671"/>
      <c r="AD82" s="671"/>
      <c r="AE82" s="671"/>
      <c r="AF82" s="837">
        <v>0</v>
      </c>
    </row>
    <row r="83" spans="1:32" s="1290" customFormat="1" ht="18.75" hidden="1" customHeight="1">
      <c r="A83" s="4118"/>
      <c r="C83" s="669"/>
      <c r="D83" s="667"/>
      <c r="E83" s="480" t="str">
        <f>FHD_NUM_P_45</f>
        <v/>
      </c>
      <c r="F83" s="1775" t="str">
        <f>FHD_P_45</f>
        <v/>
      </c>
      <c r="G83" s="1776" t="s">
        <v>790</v>
      </c>
      <c r="H83" s="904"/>
      <c r="I83" s="511"/>
      <c r="J83" s="224" t="str">
        <f>FHD_NOTE_P_45</f>
        <v/>
      </c>
      <c r="K83" s="668"/>
      <c r="L83" s="669"/>
      <c r="M83" s="669"/>
      <c r="R83" s="669"/>
      <c r="U83" s="670"/>
      <c r="AA83" s="671"/>
      <c r="AB83" s="671"/>
      <c r="AC83" s="671"/>
      <c r="AD83" s="671"/>
      <c r="AE83" s="671"/>
      <c r="AF83" s="837">
        <v>0</v>
      </c>
    </row>
    <row r="84" spans="1:32" s="1290" customFormat="1" ht="18.75" hidden="1" customHeight="1">
      <c r="A84" s="4118"/>
      <c r="C84" s="669"/>
      <c r="D84" s="672"/>
      <c r="E84" s="480" t="str">
        <f>FHD_NUM_P_46</f>
        <v/>
      </c>
      <c r="F84" s="1775" t="str">
        <f>FHD_P_46</f>
        <v/>
      </c>
      <c r="G84" s="1776" t="s">
        <v>790</v>
      </c>
      <c r="H84" s="904"/>
      <c r="I84" s="511"/>
      <c r="J84" s="224" t="str">
        <f>FHD_NOTE_P_46</f>
        <v/>
      </c>
      <c r="K84" s="668"/>
      <c r="L84" s="669"/>
      <c r="M84" s="669"/>
      <c r="R84" s="669"/>
      <c r="U84" s="670"/>
      <c r="AA84" s="671"/>
      <c r="AB84" s="671"/>
      <c r="AC84" s="671"/>
      <c r="AD84" s="671"/>
      <c r="AE84" s="671"/>
      <c r="AF84" s="837">
        <v>0</v>
      </c>
    </row>
    <row r="85" spans="1:32" s="1290" customFormat="1" ht="18.75" hidden="1" customHeight="1">
      <c r="A85" s="4118"/>
      <c r="C85" s="669"/>
      <c r="D85" s="667"/>
      <c r="E85" s="480" t="str">
        <f>FHD_NUM_P_47</f>
        <v/>
      </c>
      <c r="F85" s="1775" t="str">
        <f>FHD_P_47</f>
        <v/>
      </c>
      <c r="G85" s="1776" t="s">
        <v>790</v>
      </c>
      <c r="H85" s="904"/>
      <c r="I85" s="511"/>
      <c r="J85" s="224" t="str">
        <f>FHD_NOTE_P_47</f>
        <v/>
      </c>
      <c r="K85" s="668"/>
      <c r="L85" s="669"/>
      <c r="M85" s="669"/>
      <c r="R85" s="669"/>
      <c r="U85" s="670"/>
      <c r="AA85" s="671"/>
      <c r="AB85" s="671"/>
      <c r="AC85" s="671"/>
      <c r="AD85" s="671"/>
      <c r="AE85" s="671"/>
      <c r="AF85" s="837">
        <v>0</v>
      </c>
    </row>
    <row r="86" spans="1:32" s="1559" customFormat="1" ht="18.75" hidden="1" customHeight="1">
      <c r="A86" s="4118"/>
      <c r="B86" s="837"/>
      <c r="C86" s="669"/>
      <c r="D86" s="667"/>
      <c r="E86" s="480" t="str">
        <f>FHD_NUM_P_48</f>
        <v/>
      </c>
      <c r="F86" s="1775" t="str">
        <f>FHD_P_48</f>
        <v/>
      </c>
      <c r="G86" s="1776" t="s">
        <v>790</v>
      </c>
      <c r="H86" s="904"/>
      <c r="I86" s="511"/>
      <c r="J86" s="224" t="str">
        <f>FHD_NOTE_P_48</f>
        <v/>
      </c>
      <c r="K86" s="668"/>
      <c r="L86" s="669"/>
      <c r="M86" s="669"/>
      <c r="N86" s="837"/>
      <c r="O86" s="837"/>
      <c r="P86" s="837"/>
      <c r="Q86" s="837"/>
      <c r="R86" s="669"/>
      <c r="S86" s="837"/>
      <c r="T86" s="837"/>
      <c r="U86" s="670"/>
      <c r="V86" s="837"/>
      <c r="W86" s="837"/>
      <c r="X86" s="837"/>
      <c r="Y86" s="837"/>
      <c r="Z86" s="837"/>
      <c r="AA86" s="671"/>
      <c r="AB86" s="671"/>
      <c r="AC86" s="671"/>
      <c r="AD86" s="671"/>
      <c r="AE86" s="671"/>
      <c r="AF86" s="673">
        <v>0</v>
      </c>
    </row>
    <row r="87" spans="1:32" s="1559" customFormat="1" ht="18.75" hidden="1" customHeight="1">
      <c r="A87" s="4118"/>
      <c r="B87" s="837"/>
      <c r="C87" s="669"/>
      <c r="D87" s="667"/>
      <c r="E87" s="480" t="str">
        <f>FHD_NUM_P_49</f>
        <v/>
      </c>
      <c r="F87" s="1775" t="str">
        <f>FHD_P_49</f>
        <v/>
      </c>
      <c r="G87" s="1776" t="s">
        <v>790</v>
      </c>
      <c r="H87" s="905">
        <f>SUM(H88:H89)</f>
        <v>0</v>
      </c>
      <c r="I87" s="683">
        <f>SUM(I88:I89)</f>
        <v>0</v>
      </c>
      <c r="J87" s="224" t="str">
        <f>FHD_NOTE_P_49</f>
        <v/>
      </c>
      <c r="K87" s="668"/>
      <c r="L87" s="669"/>
      <c r="M87" s="669"/>
      <c r="N87" s="837"/>
      <c r="O87" s="837"/>
      <c r="P87" s="837"/>
      <c r="Q87" s="837"/>
      <c r="R87" s="669"/>
      <c r="S87" s="837"/>
      <c r="T87" s="837"/>
      <c r="U87" s="670"/>
      <c r="V87" s="837"/>
      <c r="W87" s="837"/>
      <c r="X87" s="837"/>
      <c r="Y87" s="837"/>
      <c r="Z87" s="837"/>
      <c r="AA87" s="671"/>
      <c r="AB87" s="671"/>
      <c r="AC87" s="671"/>
      <c r="AD87" s="671"/>
      <c r="AE87" s="671"/>
      <c r="AF87" s="673">
        <v>0</v>
      </c>
    </row>
    <row r="88" spans="1:32" s="1559" customFormat="1" ht="18.75" hidden="1" customHeight="1">
      <c r="A88" s="4118"/>
      <c r="B88" s="837"/>
      <c r="C88" s="669"/>
      <c r="D88" s="667"/>
      <c r="E88" s="480" t="str">
        <f>FHD_NUM_P_50</f>
        <v/>
      </c>
      <c r="F88" s="1775" t="str">
        <f>FHD_P_50</f>
        <v/>
      </c>
      <c r="G88" s="1776" t="s">
        <v>790</v>
      </c>
      <c r="H88" s="904"/>
      <c r="I88" s="511"/>
      <c r="J88" s="224" t="str">
        <f>FHD_NOTE_P_50</f>
        <v/>
      </c>
      <c r="K88" s="668"/>
      <c r="L88" s="669"/>
      <c r="M88" s="669"/>
      <c r="N88" s="837"/>
      <c r="O88" s="837"/>
      <c r="P88" s="837"/>
      <c r="Q88" s="837"/>
      <c r="R88" s="669"/>
      <c r="S88" s="837"/>
      <c r="T88" s="837"/>
      <c r="U88" s="670"/>
      <c r="V88" s="837"/>
      <c r="W88" s="837"/>
      <c r="X88" s="837"/>
      <c r="Y88" s="837"/>
      <c r="Z88" s="837"/>
      <c r="AA88" s="671"/>
      <c r="AB88" s="671"/>
      <c r="AC88" s="671"/>
      <c r="AD88" s="671"/>
      <c r="AE88" s="671"/>
      <c r="AF88" s="673">
        <v>0</v>
      </c>
    </row>
    <row r="89" spans="1:32" s="1559" customFormat="1" ht="18.75" hidden="1" customHeight="1">
      <c r="A89" s="4118"/>
      <c r="B89" s="837"/>
      <c r="C89" s="669"/>
      <c r="D89" s="667"/>
      <c r="E89" s="480" t="str">
        <f>FHD_NUM_P_51</f>
        <v/>
      </c>
      <c r="F89" s="1775" t="str">
        <f>FHD_P_51</f>
        <v/>
      </c>
      <c r="G89" s="1776" t="s">
        <v>790</v>
      </c>
      <c r="H89" s="904"/>
      <c r="I89" s="511"/>
      <c r="J89" s="224" t="str">
        <f>FHD_NOTE_P_51</f>
        <v/>
      </c>
      <c r="K89" s="668"/>
      <c r="L89" s="669"/>
      <c r="M89" s="669"/>
      <c r="N89" s="837"/>
      <c r="O89" s="837"/>
      <c r="P89" s="837"/>
      <c r="Q89" s="837"/>
      <c r="R89" s="669"/>
      <c r="S89" s="837"/>
      <c r="T89" s="837"/>
      <c r="U89" s="670"/>
      <c r="V89" s="837"/>
      <c r="W89" s="837"/>
      <c r="X89" s="837"/>
      <c r="Y89" s="837"/>
      <c r="Z89" s="837"/>
      <c r="AA89" s="671"/>
      <c r="AB89" s="671"/>
      <c r="AC89" s="671"/>
      <c r="AD89" s="671"/>
      <c r="AE89" s="671"/>
      <c r="AF89" s="673">
        <v>0</v>
      </c>
    </row>
    <row r="90" spans="1:32" s="1559" customFormat="1" ht="18.75" hidden="1" customHeight="1">
      <c r="A90" s="4118"/>
      <c r="B90" s="837"/>
      <c r="C90" s="669"/>
      <c r="D90" s="667"/>
      <c r="E90" s="480" t="str">
        <f>FHD_NUM_P_52</f>
        <v/>
      </c>
      <c r="F90" s="1775" t="str">
        <f>FHD_P_52</f>
        <v/>
      </c>
      <c r="G90" s="1776" t="s">
        <v>767</v>
      </c>
      <c r="H90" s="903"/>
      <c r="I90" s="491"/>
      <c r="J90" s="224" t="str">
        <f>FHD_NOTE_P_52</f>
        <v/>
      </c>
      <c r="K90" s="668"/>
      <c r="L90" s="669"/>
      <c r="M90" s="669"/>
      <c r="N90" s="837"/>
      <c r="O90" s="837"/>
      <c r="P90" s="837"/>
      <c r="Q90" s="837"/>
      <c r="R90" s="669"/>
      <c r="S90" s="837"/>
      <c r="T90" s="837"/>
      <c r="U90" s="670"/>
      <c r="V90" s="837"/>
      <c r="W90" s="837"/>
      <c r="X90" s="837"/>
      <c r="Y90" s="837"/>
      <c r="Z90" s="837"/>
      <c r="AA90" s="671"/>
      <c r="AB90" s="671"/>
      <c r="AC90" s="671"/>
      <c r="AD90" s="671"/>
      <c r="AE90" s="671"/>
      <c r="AF90" s="673">
        <v>0</v>
      </c>
    </row>
    <row r="91" spans="1:32" s="1290" customFormat="1" ht="18.75" hidden="1" customHeight="1">
      <c r="A91" s="4118" t="s">
        <v>791</v>
      </c>
      <c r="C91" s="669"/>
      <c r="D91" s="667"/>
      <c r="E91" s="480" t="str">
        <f>FHD_NUM_P_53</f>
        <v/>
      </c>
      <c r="F91" s="1775" t="str">
        <f>FHD_P_53</f>
        <v/>
      </c>
      <c r="G91" s="1776" t="s">
        <v>790</v>
      </c>
      <c r="H91" s="904"/>
      <c r="I91" s="511"/>
      <c r="J91" s="224" t="str">
        <f>FHD_NOTE_P_53</f>
        <v/>
      </c>
      <c r="K91" s="668"/>
      <c r="L91" s="669"/>
      <c r="M91" s="669"/>
      <c r="R91" s="669"/>
      <c r="U91" s="670"/>
      <c r="AA91" s="671"/>
      <c r="AB91" s="671"/>
      <c r="AC91" s="671"/>
      <c r="AD91" s="671"/>
      <c r="AE91" s="671"/>
      <c r="AF91" s="837">
        <v>0</v>
      </c>
    </row>
    <row r="92" spans="1:32" s="1290" customFormat="1" ht="18.75" hidden="1" customHeight="1">
      <c r="A92" s="4118"/>
      <c r="C92" s="669"/>
      <c r="D92" s="667"/>
      <c r="E92" s="480" t="str">
        <f>FHD_NUM_P_54</f>
        <v/>
      </c>
      <c r="F92" s="1775" t="str">
        <f>FHD_P_54</f>
        <v/>
      </c>
      <c r="G92" s="1776" t="s">
        <v>790</v>
      </c>
      <c r="H92" s="904"/>
      <c r="I92" s="511"/>
      <c r="J92" s="224" t="str">
        <f>FHD_NOTE_P_54</f>
        <v/>
      </c>
      <c r="K92" s="668"/>
      <c r="L92" s="669"/>
      <c r="M92" s="669"/>
      <c r="R92" s="669"/>
      <c r="U92" s="670"/>
      <c r="AA92" s="671"/>
      <c r="AB92" s="671"/>
      <c r="AC92" s="671"/>
      <c r="AD92" s="671"/>
      <c r="AE92" s="671"/>
      <c r="AF92" s="837">
        <v>0</v>
      </c>
    </row>
    <row r="93" spans="1:32" s="1290" customFormat="1" ht="18.75" hidden="1" customHeight="1">
      <c r="A93" s="4118"/>
      <c r="C93" s="669"/>
      <c r="D93" s="672"/>
      <c r="E93" s="480" t="str">
        <f>FHD_NUM_P_55</f>
        <v/>
      </c>
      <c r="F93" s="1775" t="str">
        <f>FHD_P_55</f>
        <v/>
      </c>
      <c r="G93" s="1779"/>
      <c r="H93" s="904"/>
      <c r="I93" s="511"/>
      <c r="J93" s="224" t="str">
        <f>FHD_NOTE_P_55</f>
        <v/>
      </c>
      <c r="K93" s="668"/>
      <c r="L93" s="669"/>
      <c r="M93" s="669"/>
      <c r="R93" s="669"/>
      <c r="U93" s="670"/>
      <c r="AA93" s="671"/>
      <c r="AB93" s="671"/>
      <c r="AC93" s="671"/>
      <c r="AD93" s="671"/>
      <c r="AE93" s="671"/>
      <c r="AF93" s="837">
        <v>0</v>
      </c>
    </row>
    <row r="94" spans="1:32" s="1290" customFormat="1" ht="18.75" hidden="1" customHeight="1">
      <c r="A94" s="4118"/>
      <c r="C94" s="669"/>
      <c r="D94" s="667"/>
      <c r="E94" s="480" t="str">
        <f>FHD_NUM_P_56</f>
        <v/>
      </c>
      <c r="F94" s="1775" t="str">
        <f>FHD_P_56</f>
        <v/>
      </c>
      <c r="G94" s="1776" t="s">
        <v>792</v>
      </c>
      <c r="H94" s="904"/>
      <c r="I94" s="511"/>
      <c r="J94" s="224" t="str">
        <f>FHD_NOTE_P_56</f>
        <v/>
      </c>
      <c r="K94" s="668"/>
      <c r="L94" s="669"/>
      <c r="M94" s="669"/>
      <c r="R94" s="669"/>
      <c r="U94" s="670"/>
      <c r="AA94" s="671"/>
      <c r="AB94" s="671"/>
      <c r="AC94" s="671"/>
      <c r="AD94" s="671"/>
      <c r="AE94" s="671"/>
      <c r="AF94" s="837">
        <v>0</v>
      </c>
    </row>
    <row r="95" spans="1:32" s="1559" customFormat="1" ht="18.75" hidden="1" customHeight="1">
      <c r="A95" s="4118"/>
      <c r="B95" s="837"/>
      <c r="C95" s="669"/>
      <c r="D95" s="667"/>
      <c r="E95" s="480" t="str">
        <f>FHD_NUM_P_57</f>
        <v/>
      </c>
      <c r="F95" s="1775" t="str">
        <f>FHD_P_57</f>
        <v/>
      </c>
      <c r="G95" s="1776" t="s">
        <v>767</v>
      </c>
      <c r="H95" s="903"/>
      <c r="I95" s="491"/>
      <c r="J95" s="224" t="str">
        <f>FHD_NOTE_P_57</f>
        <v/>
      </c>
      <c r="K95" s="668"/>
      <c r="L95" s="669"/>
      <c r="M95" s="669"/>
      <c r="N95" s="837"/>
      <c r="O95" s="837"/>
      <c r="P95" s="837"/>
      <c r="Q95" s="837"/>
      <c r="R95" s="669"/>
      <c r="S95" s="837"/>
      <c r="T95" s="837"/>
      <c r="U95" s="670"/>
      <c r="V95" s="837"/>
      <c r="W95" s="837"/>
      <c r="X95" s="837"/>
      <c r="Y95" s="837"/>
      <c r="Z95" s="837"/>
      <c r="AA95" s="671"/>
      <c r="AB95" s="671"/>
      <c r="AC95" s="671"/>
      <c r="AD95" s="671"/>
      <c r="AE95" s="671"/>
      <c r="AF95" s="673">
        <v>0</v>
      </c>
    </row>
    <row r="96" spans="1:32" ht="18.75" hidden="1" customHeight="1">
      <c r="A96" s="4118" t="s">
        <v>793</v>
      </c>
      <c r="D96" s="1562"/>
      <c r="E96" s="480" t="str">
        <f>FHD_NUM_P_58</f>
        <v/>
      </c>
      <c r="F96" s="1775" t="str">
        <f>FHD_P_58</f>
        <v/>
      </c>
      <c r="G96" s="1776" t="s">
        <v>790</v>
      </c>
      <c r="H96" s="904"/>
      <c r="I96" s="511"/>
      <c r="J96" s="224" t="str">
        <f>FHD_NOTE_P_58</f>
        <v/>
      </c>
      <c r="K96" s="477"/>
      <c r="AF96" s="1555">
        <v>0</v>
      </c>
    </row>
    <row r="97" spans="1:32" ht="18.75" hidden="1" customHeight="1">
      <c r="A97" s="4118"/>
      <c r="D97" s="1562"/>
      <c r="E97" s="480" t="str">
        <f>FHD_NUM_P_59</f>
        <v/>
      </c>
      <c r="F97" s="1775" t="str">
        <f>FHD_P_59</f>
        <v/>
      </c>
      <c r="G97" s="1776" t="s">
        <v>790</v>
      </c>
      <c r="H97" s="904"/>
      <c r="I97" s="511"/>
      <c r="J97" s="224" t="str">
        <f>FHD_NOTE_P_59</f>
        <v/>
      </c>
      <c r="K97" s="477"/>
      <c r="AF97" s="1555">
        <v>0</v>
      </c>
    </row>
    <row r="98" spans="1:32" ht="18.75" hidden="1" customHeight="1">
      <c r="A98" s="4118"/>
      <c r="D98" s="1562"/>
      <c r="E98" s="480" t="str">
        <f>FHD_NUM_P_60</f>
        <v/>
      </c>
      <c r="F98" s="1775" t="str">
        <f>FHD_P_60</f>
        <v/>
      </c>
      <c r="G98" s="1776" t="s">
        <v>790</v>
      </c>
      <c r="H98" s="904"/>
      <c r="I98" s="511"/>
      <c r="J98" s="224" t="str">
        <f>FHD_NOTE_P_60</f>
        <v/>
      </c>
      <c r="K98" s="477"/>
      <c r="AF98" s="1555">
        <v>0</v>
      </c>
    </row>
    <row r="99" spans="1:32" s="1290" customFormat="1" ht="18.75" customHeight="1">
      <c r="A99" s="4118" t="s">
        <v>794</v>
      </c>
      <c r="C99" s="1560"/>
      <c r="D99" s="1562"/>
      <c r="E99" s="480" t="str">
        <f>FHD_NUM_P_61</f>
        <v>7</v>
      </c>
      <c r="F99" s="177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73" t="s">
        <v>765</v>
      </c>
      <c r="H99" s="906"/>
      <c r="I99" s="676"/>
      <c r="J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7"/>
      <c r="L99" s="1560"/>
      <c r="M99" s="1560"/>
      <c r="R99" s="1560"/>
      <c r="U99" s="478"/>
      <c r="AA99" s="1556"/>
      <c r="AB99" s="1556"/>
      <c r="AC99" s="1556"/>
      <c r="AD99" s="1556"/>
      <c r="AE99" s="1556"/>
      <c r="AF99" s="1084">
        <v>0</v>
      </c>
    </row>
    <row r="100" spans="1:32" s="1566" customFormat="1" ht="0.75" customHeight="1">
      <c r="A100" s="4118"/>
      <c r="D100" s="482"/>
      <c r="E100" s="940" t="str">
        <f>E99&amp;".0"</f>
        <v>7.0</v>
      </c>
      <c r="F100" s="921"/>
      <c r="G100" s="922"/>
      <c r="H100" s="919"/>
      <c r="I100" s="919"/>
      <c r="J100" s="923"/>
      <c r="AF100" s="1560">
        <v>0</v>
      </c>
    </row>
    <row r="101" spans="1:32" ht="15" customHeight="1">
      <c r="A101" s="4118"/>
      <c r="D101" s="1557"/>
      <c r="E101" s="898"/>
      <c r="F101" s="899" t="s">
        <v>795</v>
      </c>
      <c r="G101" s="506"/>
      <c r="H101" s="507"/>
      <c r="I101" s="507"/>
      <c r="J101" s="931" t="s">
        <v>796</v>
      </c>
      <c r="K101" s="477"/>
      <c r="AF101" s="1555">
        <v>0</v>
      </c>
    </row>
    <row r="102" spans="1:32" s="1290" customFormat="1" ht="18.75" customHeight="1">
      <c r="A102" s="4118"/>
      <c r="C102" s="1560"/>
      <c r="D102" s="1562"/>
      <c r="E102" s="480" t="str">
        <f>FHD_NUM_P_62</f>
        <v>8</v>
      </c>
      <c r="F102" s="1775" t="str">
        <f>FHD_P_62</f>
        <v>Тепловая нагрузка по договорам, заключенным в рамках осуществления регулируемых видов деятельности</v>
      </c>
      <c r="G102" s="1772" t="s">
        <v>765</v>
      </c>
      <c r="H102" s="491"/>
      <c r="I102" s="491"/>
      <c r="J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7"/>
      <c r="L102" s="1560"/>
      <c r="M102" s="1560"/>
      <c r="R102" s="1560"/>
      <c r="U102" s="478"/>
      <c r="AA102" s="1556"/>
      <c r="AB102" s="1556"/>
      <c r="AC102" s="1556"/>
      <c r="AD102" s="1556"/>
      <c r="AE102" s="1556"/>
      <c r="AF102" s="1084">
        <v>0</v>
      </c>
    </row>
    <row r="103" spans="1:32" s="1290" customFormat="1" ht="18.75" customHeight="1">
      <c r="A103" s="4118"/>
      <c r="C103" s="1560"/>
      <c r="D103" s="1562"/>
      <c r="E103" s="480" t="str">
        <f>FHD_NUM_P_63</f>
        <v>9</v>
      </c>
      <c r="F103" s="1775" t="str">
        <f>FHD_P_63</f>
        <v>Объем вырабатываемой регулируемой организацией тепловой энергии в рамках осуществления регулируемых видов деятельности</v>
      </c>
      <c r="G103" s="1772" t="s">
        <v>792</v>
      </c>
      <c r="H103" s="511"/>
      <c r="I103" s="511"/>
      <c r="J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7"/>
      <c r="L103" s="1560"/>
      <c r="M103" s="1560"/>
      <c r="R103" s="1560"/>
      <c r="U103" s="478"/>
      <c r="AA103" s="1556"/>
      <c r="AB103" s="1556"/>
      <c r="AC103" s="1556"/>
      <c r="AD103" s="1556"/>
      <c r="AE103" s="1556"/>
      <c r="AF103" s="1084">
        <v>0</v>
      </c>
    </row>
    <row r="104" spans="1:32" s="1290" customFormat="1" ht="18.75" customHeight="1">
      <c r="A104" s="4118"/>
      <c r="C104" s="1560" t="s">
        <v>797</v>
      </c>
      <c r="D104" s="1562"/>
      <c r="E104" s="480" t="str">
        <f>FHD_NUM_P_64</f>
        <v>9.1</v>
      </c>
      <c r="F104" s="1775" t="str">
        <f>FHD_P_64</f>
        <v>Объем приобретаемой регулируемой организацией тепловой энергии в рамках осуществления регулируемых видов деятельности</v>
      </c>
      <c r="G104" s="1772" t="s">
        <v>792</v>
      </c>
      <c r="H104" s="479"/>
      <c r="I104" s="479"/>
      <c r="J104" s="224" t="str">
        <f>FHD_NOTE_P_64</f>
        <v>Информация указывается только едиными теплоснабжающими организациями.</v>
      </c>
      <c r="K104" s="477"/>
      <c r="L104" s="1560"/>
      <c r="M104" s="1560"/>
      <c r="R104" s="1560"/>
      <c r="U104" s="478"/>
      <c r="AA104" s="1556"/>
      <c r="AB104" s="1556"/>
      <c r="AC104" s="1556"/>
      <c r="AD104" s="1556"/>
      <c r="AE104" s="1556"/>
      <c r="AF104" s="1084">
        <v>0</v>
      </c>
    </row>
    <row r="105" spans="1:32" s="1290" customFormat="1" ht="18.75" customHeight="1">
      <c r="A105" s="4118"/>
      <c r="C105" s="1560"/>
      <c r="D105" s="1562"/>
      <c r="E105" s="480" t="str">
        <f>FHD_NUM_P_65</f>
        <v>10</v>
      </c>
      <c r="F105" s="177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72" t="s">
        <v>792</v>
      </c>
      <c r="H105" s="511"/>
      <c r="I105" s="511"/>
      <c r="J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7"/>
      <c r="L105" s="1560"/>
      <c r="M105" s="1560"/>
      <c r="R105" s="1560"/>
      <c r="U105" s="478"/>
      <c r="AA105" s="1556"/>
      <c r="AB105" s="1556"/>
      <c r="AC105" s="1556"/>
      <c r="AD105" s="1556"/>
      <c r="AE105" s="1556"/>
      <c r="AF105" s="1084">
        <v>0</v>
      </c>
    </row>
    <row r="106" spans="1:32" s="1290" customFormat="1" ht="18.75" customHeight="1">
      <c r="A106" s="4118"/>
      <c r="C106" s="1560"/>
      <c r="D106" s="1562"/>
      <c r="E106" s="480" t="str">
        <f>FHD_NUM_P_66</f>
        <v>10.1</v>
      </c>
      <c r="F106" s="1448" t="str">
        <f>FHD_P_66</f>
        <v xml:space="preserve">По приборам учёта </v>
      </c>
      <c r="G106" s="1772" t="s">
        <v>792</v>
      </c>
      <c r="H106" s="511"/>
      <c r="I106" s="511"/>
      <c r="J106" s="224" t="str">
        <f>FHD_NOTE_P_66</f>
        <v/>
      </c>
      <c r="K106" s="477"/>
      <c r="L106" s="1560"/>
      <c r="M106" s="1560"/>
      <c r="R106" s="1560"/>
      <c r="U106" s="478"/>
      <c r="AA106" s="1556"/>
      <c r="AB106" s="1556"/>
      <c r="AC106" s="1556"/>
      <c r="AD106" s="1556"/>
      <c r="AE106" s="1556"/>
      <c r="AF106" s="1084">
        <v>0</v>
      </c>
    </row>
    <row r="107" spans="1:32" s="1290" customFormat="1" ht="18.75" customHeight="1">
      <c r="A107" s="4118"/>
      <c r="C107" s="1560"/>
      <c r="D107" s="1562"/>
      <c r="E107" s="480" t="str">
        <f>FHD_NUM_P_67</f>
        <v>10.1.1</v>
      </c>
      <c r="F107" s="157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72" t="s">
        <v>792</v>
      </c>
      <c r="H107" s="511"/>
      <c r="I107" s="511"/>
      <c r="J107" s="224" t="str">
        <f>FHD_NOTE_P_67</f>
        <v/>
      </c>
      <c r="K107" s="477"/>
      <c r="L107" s="1560"/>
      <c r="M107" s="1560"/>
      <c r="R107" s="1560"/>
      <c r="U107" s="478"/>
      <c r="AA107" s="1556"/>
      <c r="AB107" s="1556"/>
      <c r="AC107" s="1556"/>
      <c r="AD107" s="1556"/>
      <c r="AE107" s="1556"/>
      <c r="AF107" s="1084">
        <v>0</v>
      </c>
    </row>
    <row r="108" spans="1:32" s="1290" customFormat="1" ht="18.75" customHeight="1">
      <c r="A108" s="4118"/>
      <c r="C108" s="1560"/>
      <c r="D108" s="1562"/>
      <c r="E108" s="480" t="str">
        <f>FHD_NUM_P_68</f>
        <v>10.2</v>
      </c>
      <c r="F108" s="1448" t="str">
        <f>FHD_P_68</f>
        <v>Расчётным путём</v>
      </c>
      <c r="G108" s="1772" t="s">
        <v>792</v>
      </c>
      <c r="H108" s="511"/>
      <c r="I108" s="511"/>
      <c r="J108" s="224" t="str">
        <f>FHD_NOTE_P_68</f>
        <v/>
      </c>
      <c r="K108" s="477"/>
      <c r="L108" s="1560"/>
      <c r="M108" s="1560"/>
      <c r="R108" s="1560"/>
      <c r="U108" s="478"/>
      <c r="AA108" s="1556"/>
      <c r="AB108" s="1556"/>
      <c r="AC108" s="1556"/>
      <c r="AD108" s="1556"/>
      <c r="AE108" s="1556"/>
      <c r="AF108" s="1084">
        <v>0</v>
      </c>
    </row>
    <row r="109" spans="1:32" s="1290" customFormat="1" ht="18.75" customHeight="1">
      <c r="A109" s="4118"/>
      <c r="C109" s="1560"/>
      <c r="D109" s="1562"/>
      <c r="E109" s="480" t="str">
        <f>FHD_NUM_P_69</f>
        <v>10.3</v>
      </c>
      <c r="F109" s="1448" t="str">
        <f>FHD_P_69</f>
        <v>По нормативам потребления коммунальных услуг и нормативам потребления коммунальных ресурсов</v>
      </c>
      <c r="G109" s="1772" t="s">
        <v>792</v>
      </c>
      <c r="H109" s="511"/>
      <c r="I109" s="511"/>
      <c r="J109" s="224" t="str">
        <f>FHD_NOTE_P_69</f>
        <v/>
      </c>
      <c r="K109" s="477"/>
      <c r="L109" s="1560"/>
      <c r="M109" s="1560"/>
      <c r="R109" s="1560"/>
      <c r="U109" s="478"/>
      <c r="AA109" s="1556"/>
      <c r="AB109" s="1556"/>
      <c r="AC109" s="1556"/>
      <c r="AD109" s="1556"/>
      <c r="AE109" s="1556"/>
      <c r="AF109" s="1084">
        <v>0</v>
      </c>
    </row>
    <row r="110" spans="1:32" s="1290" customFormat="1" ht="22.5" customHeight="1">
      <c r="A110" s="4118"/>
      <c r="C110" s="1560"/>
      <c r="D110" s="1562"/>
      <c r="E110" s="480" t="str">
        <f>FHD_NUM_P_70</f>
        <v>11</v>
      </c>
      <c r="F110" s="177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72" t="s">
        <v>798</v>
      </c>
      <c r="H110" s="491"/>
      <c r="I110" s="491"/>
      <c r="J110" s="224" t="str">
        <f>FHD_NOTE_P_70</f>
        <v/>
      </c>
      <c r="K110" s="477"/>
      <c r="L110" s="1560"/>
      <c r="M110" s="1560"/>
      <c r="R110" s="1560"/>
      <c r="U110" s="478"/>
      <c r="AA110" s="1556"/>
      <c r="AB110" s="1556"/>
      <c r="AC110" s="1556"/>
      <c r="AD110" s="1556"/>
      <c r="AE110" s="1556"/>
      <c r="AF110" s="1084">
        <v>0</v>
      </c>
    </row>
    <row r="111" spans="1:32" s="1290" customFormat="1" ht="22.5" customHeight="1">
      <c r="A111" s="4118"/>
      <c r="C111" s="1560"/>
      <c r="D111" s="1562"/>
      <c r="E111" s="480" t="str">
        <f>FHD_NUM_P_71</f>
        <v>12</v>
      </c>
      <c r="F111" s="1775" t="str">
        <f>FHD_P_71</f>
        <v>Фактический объем потерь при передаче тепловой энергии</v>
      </c>
      <c r="G111" s="1772" t="s">
        <v>798</v>
      </c>
      <c r="H111" s="491"/>
      <c r="I111" s="491"/>
      <c r="J111" s="224" t="str">
        <f>FHD_NOTE_P_71</f>
        <v/>
      </c>
      <c r="K111" s="477"/>
      <c r="L111" s="1560"/>
      <c r="M111" s="1560"/>
      <c r="R111" s="1560"/>
      <c r="U111" s="478"/>
      <c r="AA111" s="1556"/>
      <c r="AB111" s="1556"/>
      <c r="AC111" s="1556"/>
      <c r="AD111" s="1556"/>
      <c r="AE111" s="1556"/>
      <c r="AF111" s="1084">
        <v>0</v>
      </c>
    </row>
    <row r="112" spans="1:32" ht="19.899999999999999" customHeight="1">
      <c r="D112" s="1562"/>
      <c r="E112" s="480" t="str">
        <f>FHD_NUM_P_72</f>
        <v>13</v>
      </c>
      <c r="F112" s="1775" t="str">
        <f>FHD_P_72</f>
        <v>Среднесписочная численность основного производственного персонала</v>
      </c>
      <c r="G112" s="1771" t="s">
        <v>799</v>
      </c>
      <c r="H112" s="511"/>
      <c r="I112" s="511"/>
      <c r="J112" s="224" t="str">
        <f>FHD_NOTE_P_72</f>
        <v/>
      </c>
      <c r="K112" s="477"/>
      <c r="AF112" s="1555">
        <v>19</v>
      </c>
    </row>
    <row r="113" spans="1:32" ht="18.75" customHeight="1">
      <c r="A113" s="916" t="s">
        <v>800</v>
      </c>
      <c r="D113" s="1562"/>
      <c r="E113" s="480" t="str">
        <f>FHD_NUM_P_73</f>
        <v>14</v>
      </c>
      <c r="F113" s="1775" t="str">
        <f>FHD_P_73</f>
        <v>Среднесписочная численность административно-управленческого персонала</v>
      </c>
      <c r="G113" s="897" t="s">
        <v>799</v>
      </c>
      <c r="H113" s="895"/>
      <c r="I113" s="895"/>
      <c r="J113" s="224" t="str">
        <f>FHD_NOTE_P_73</f>
        <v/>
      </c>
      <c r="K113" s="477"/>
      <c r="AF113" s="1555">
        <v>0</v>
      </c>
    </row>
    <row r="114" spans="1:32" ht="33.75" hidden="1" customHeight="1">
      <c r="A114" s="916" t="s">
        <v>801</v>
      </c>
      <c r="D114" s="1562"/>
      <c r="E114" s="480" t="str">
        <f>FHD_NUM_P_74</f>
        <v/>
      </c>
      <c r="F114" s="1775" t="str">
        <f>FHD_P_74</f>
        <v/>
      </c>
      <c r="G114" s="1771" t="s">
        <v>802</v>
      </c>
      <c r="H114" s="511"/>
      <c r="I114" s="511"/>
      <c r="J114" s="224" t="str">
        <f>FHD_NOTE_P_74</f>
        <v/>
      </c>
      <c r="K114" s="477"/>
      <c r="AF114" s="1555">
        <v>0</v>
      </c>
    </row>
    <row r="115" spans="1:32" s="1559" customFormat="1" ht="18.75" hidden="1" customHeight="1">
      <c r="A115" s="4118" t="s">
        <v>803</v>
      </c>
      <c r="B115" s="837"/>
      <c r="C115" s="669"/>
      <c r="D115" s="667"/>
      <c r="E115" s="480" t="str">
        <f>FHD_NUM_P_75</f>
        <v/>
      </c>
      <c r="F115" s="1775" t="str">
        <f>FHD_P_75</f>
        <v/>
      </c>
      <c r="G115" s="1771" t="s">
        <v>767</v>
      </c>
      <c r="H115" s="491"/>
      <c r="I115" s="491"/>
      <c r="J115" s="224" t="str">
        <f>FHD_NOTE_P_75</f>
        <v/>
      </c>
      <c r="K115" s="668"/>
      <c r="L115" s="669"/>
      <c r="M115" s="669"/>
      <c r="N115" s="837"/>
      <c r="O115" s="837"/>
      <c r="P115" s="837"/>
      <c r="Q115" s="837"/>
      <c r="R115" s="669"/>
      <c r="S115" s="837"/>
      <c r="T115" s="837"/>
      <c r="U115" s="670"/>
      <c r="V115" s="837"/>
      <c r="W115" s="837"/>
      <c r="X115" s="837"/>
      <c r="Y115" s="837"/>
      <c r="Z115" s="837"/>
      <c r="AA115" s="671"/>
      <c r="AB115" s="671"/>
      <c r="AC115" s="671"/>
      <c r="AD115" s="671"/>
      <c r="AE115" s="671"/>
      <c r="AF115" s="673">
        <v>0</v>
      </c>
    </row>
    <row r="116" spans="1:32" s="1559" customFormat="1" ht="18.75" hidden="1" customHeight="1">
      <c r="A116" s="4118"/>
      <c r="B116" s="837"/>
      <c r="C116" s="669"/>
      <c r="D116" s="667"/>
      <c r="E116" s="480" t="str">
        <f>FHD_NUM_P_76</f>
        <v/>
      </c>
      <c r="F116" s="1775" t="str">
        <f>FHD_P_76</f>
        <v/>
      </c>
      <c r="G116" s="1771" t="s">
        <v>767</v>
      </c>
      <c r="H116" s="491"/>
      <c r="I116" s="491"/>
      <c r="J116" s="224" t="str">
        <f>FHD_NOTE_P_76</f>
        <v/>
      </c>
      <c r="K116" s="668"/>
      <c r="L116" s="669"/>
      <c r="M116" s="669"/>
      <c r="N116" s="837"/>
      <c r="O116" s="837"/>
      <c r="P116" s="837"/>
      <c r="Q116" s="837"/>
      <c r="R116" s="669"/>
      <c r="S116" s="837"/>
      <c r="T116" s="837"/>
      <c r="U116" s="670"/>
      <c r="V116" s="837"/>
      <c r="W116" s="837"/>
      <c r="X116" s="837"/>
      <c r="Y116" s="837"/>
      <c r="Z116" s="837"/>
      <c r="AA116" s="671"/>
      <c r="AB116" s="671"/>
      <c r="AC116" s="671"/>
      <c r="AD116" s="671"/>
      <c r="AE116" s="671"/>
      <c r="AF116" s="673">
        <v>0</v>
      </c>
    </row>
    <row r="117" spans="1:32" s="1559" customFormat="1" ht="18.75" hidden="1" customHeight="1">
      <c r="A117" s="4118"/>
      <c r="B117" s="837"/>
      <c r="C117" s="669"/>
      <c r="D117" s="667"/>
      <c r="E117" s="480" t="str">
        <f>FHD_NUM_P_77</f>
        <v/>
      </c>
      <c r="F117" s="1775" t="str">
        <f>FHD_P_77</f>
        <v/>
      </c>
      <c r="G117" s="1771" t="s">
        <v>767</v>
      </c>
      <c r="H117" s="491"/>
      <c r="I117" s="491"/>
      <c r="J117" s="224" t="str">
        <f>FHD_NOTE_P_77</f>
        <v/>
      </c>
      <c r="K117" s="668"/>
      <c r="L117" s="669"/>
      <c r="M117" s="669"/>
      <c r="N117" s="837"/>
      <c r="O117" s="837"/>
      <c r="P117" s="837"/>
      <c r="Q117" s="837"/>
      <c r="R117" s="669"/>
      <c r="S117" s="837"/>
      <c r="T117" s="837"/>
      <c r="U117" s="670"/>
      <c r="V117" s="837"/>
      <c r="W117" s="837"/>
      <c r="X117" s="837"/>
      <c r="Y117" s="837"/>
      <c r="Z117" s="837"/>
      <c r="AA117" s="671"/>
      <c r="AB117" s="671"/>
      <c r="AC117" s="671"/>
      <c r="AD117" s="671"/>
      <c r="AE117" s="671"/>
      <c r="AF117" s="673">
        <v>0</v>
      </c>
    </row>
    <row r="118" spans="1:32" s="1566" customFormat="1" ht="0.75" hidden="1" customHeight="1">
      <c r="A118" s="4118"/>
      <c r="D118" s="482"/>
      <c r="E118" s="940" t="str">
        <f>E117&amp;".0"</f>
        <v>.0</v>
      </c>
      <c r="F118" s="924"/>
      <c r="G118" s="1575"/>
      <c r="H118" s="919"/>
      <c r="I118" s="919"/>
      <c r="J118" s="923"/>
      <c r="AF118" s="1560">
        <v>0</v>
      </c>
    </row>
    <row r="119" spans="1:32" s="1559" customFormat="1" ht="15" hidden="1" customHeight="1">
      <c r="A119" s="4118"/>
      <c r="B119" s="837"/>
      <c r="C119" s="669"/>
      <c r="D119" s="680"/>
      <c r="E119" s="900"/>
      <c r="F119" s="901" t="s">
        <v>804</v>
      </c>
      <c r="G119" s="681"/>
      <c r="H119" s="682"/>
      <c r="I119" s="682"/>
      <c r="J119" s="930" t="s">
        <v>805</v>
      </c>
      <c r="K119" s="668"/>
      <c r="L119" s="669"/>
      <c r="M119" s="669"/>
      <c r="N119" s="837"/>
      <c r="O119" s="837"/>
      <c r="P119" s="837"/>
      <c r="Q119" s="837"/>
      <c r="R119" s="669"/>
      <c r="S119" s="837"/>
      <c r="T119" s="837"/>
      <c r="U119" s="670"/>
      <c r="V119" s="837"/>
      <c r="W119" s="837"/>
      <c r="X119" s="837"/>
      <c r="Y119" s="837"/>
      <c r="Z119" s="837"/>
      <c r="AA119" s="671"/>
      <c r="AB119" s="671"/>
      <c r="AC119" s="671"/>
      <c r="AD119" s="671"/>
      <c r="AE119" s="671"/>
      <c r="AF119" s="673">
        <v>0</v>
      </c>
    </row>
    <row r="120" spans="1:32" ht="22.5" customHeight="1">
      <c r="A120" s="4118" t="s">
        <v>806</v>
      </c>
      <c r="D120" s="1562"/>
      <c r="E120" s="480" t="str">
        <f>FHD_NUM_P_78</f>
        <v>15</v>
      </c>
      <c r="F120" s="177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72" t="s">
        <v>769</v>
      </c>
      <c r="H120" s="511"/>
      <c r="I120" s="511"/>
      <c r="J120" s="224" t="str">
        <f>FHD_NOTE_P_78</f>
        <v/>
      </c>
      <c r="K120" s="477"/>
      <c r="AF120" s="1555">
        <v>0</v>
      </c>
    </row>
    <row r="121" spans="1:32" s="1566" customFormat="1" ht="0.75" customHeight="1">
      <c r="A121" s="4118"/>
      <c r="D121" s="482"/>
      <c r="E121" s="940" t="str">
        <f>E120&amp;".0"</f>
        <v>15.0</v>
      </c>
      <c r="F121" s="924"/>
      <c r="G121" s="1575"/>
      <c r="H121" s="919"/>
      <c r="I121" s="919"/>
      <c r="J121" s="923"/>
      <c r="AF121" s="1560">
        <v>0</v>
      </c>
    </row>
    <row r="122" spans="1:32" ht="15" customHeight="1">
      <c r="A122" s="4118"/>
      <c r="D122" s="1557"/>
      <c r="E122" s="504"/>
      <c r="F122" s="1092" t="s">
        <v>795</v>
      </c>
      <c r="G122" s="506"/>
      <c r="H122" s="507"/>
      <c r="I122" s="507"/>
      <c r="J122" s="931" t="s">
        <v>807</v>
      </c>
      <c r="K122" s="477"/>
      <c r="AF122" s="1555">
        <v>0</v>
      </c>
    </row>
    <row r="123" spans="1:32" ht="22.5" customHeight="1">
      <c r="A123" s="4118"/>
      <c r="D123" s="1562"/>
      <c r="E123" s="480" t="str">
        <f>FHD_NUM_P_79</f>
        <v>16</v>
      </c>
      <c r="F123" s="177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73" t="s">
        <v>771</v>
      </c>
      <c r="H123" s="511"/>
      <c r="I123" s="511"/>
      <c r="J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7"/>
      <c r="AF123" s="1555">
        <v>0</v>
      </c>
    </row>
    <row r="124" spans="1:32" s="1566" customFormat="1" ht="0.75" customHeight="1">
      <c r="A124" s="4118"/>
      <c r="D124" s="482"/>
      <c r="E124" s="940" t="str">
        <f>E123&amp;".0"</f>
        <v>16.0</v>
      </c>
      <c r="F124" s="925"/>
      <c r="G124" s="1575"/>
      <c r="H124" s="919"/>
      <c r="I124" s="919"/>
      <c r="J124" s="923"/>
      <c r="AF124" s="1560">
        <v>0</v>
      </c>
    </row>
    <row r="125" spans="1:32" ht="15" customHeight="1">
      <c r="A125" s="4118"/>
      <c r="D125" s="1557"/>
      <c r="E125" s="504"/>
      <c r="F125" s="1092" t="s">
        <v>795</v>
      </c>
      <c r="G125" s="506"/>
      <c r="H125" s="507"/>
      <c r="I125" s="507"/>
      <c r="J125" s="931" t="s">
        <v>808</v>
      </c>
      <c r="K125" s="477"/>
      <c r="AF125" s="1555">
        <v>0</v>
      </c>
    </row>
    <row r="126" spans="1:32" ht="22.5" customHeight="1">
      <c r="A126" s="4118"/>
      <c r="D126" s="1562"/>
      <c r="E126" s="480" t="str">
        <f>FHD_NUM_P_80</f>
        <v>17</v>
      </c>
      <c r="F126" s="177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73" t="s">
        <v>809</v>
      </c>
      <c r="H126" s="491"/>
      <c r="I126" s="491"/>
      <c r="J126" s="224" t="str">
        <f>FHD_NOTE_P_80</f>
        <v>Регулируемыми организациями указывается информация с по договорам, заключенным в рамках осуществления регулируемой деятельности.</v>
      </c>
      <c r="K126" s="477"/>
      <c r="AF126" s="1555">
        <v>0</v>
      </c>
    </row>
    <row r="127" spans="1:32" ht="18.75" customHeight="1">
      <c r="A127" s="4118"/>
      <c r="D127" s="1562"/>
      <c r="E127" s="480" t="str">
        <f>FHD_NUM_P_81</f>
        <v>18</v>
      </c>
      <c r="F127" s="177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73" t="s">
        <v>810</v>
      </c>
      <c r="H127" s="491"/>
      <c r="I127" s="491"/>
      <c r="J127" s="224" t="str">
        <f>FHD_NOTE_P_81</f>
        <v>Регулируемыми организациями указывается информация с по договорам, заключенным в рамках осуществления регулируемой деятельности.</v>
      </c>
      <c r="K127" s="477"/>
      <c r="AF127" s="1555">
        <v>0</v>
      </c>
    </row>
    <row r="128" spans="1:32" ht="18.75" customHeight="1">
      <c r="A128" s="4118"/>
      <c r="C128" s="1560" t="s">
        <v>797</v>
      </c>
      <c r="D128" s="1562"/>
      <c r="E128" s="480" t="str">
        <f>FHD_NUM_P_82</f>
        <v>19</v>
      </c>
      <c r="F128" s="177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73" t="s">
        <v>514</v>
      </c>
      <c r="H128" s="335"/>
      <c r="I128" s="335"/>
      <c r="J128" s="224" t="str">
        <f>FHD_NOTE_P_82</f>
        <v>Указывается ссылка на документ, предварительно загруженный в хранилище файлов ФГИС ЕИАС.</v>
      </c>
      <c r="K128" s="477"/>
      <c r="AF128" s="1555">
        <v>0</v>
      </c>
    </row>
    <row r="129" spans="1:32" ht="18.75" customHeight="1">
      <c r="A129" s="4118"/>
      <c r="C129" s="1560" t="s">
        <v>797</v>
      </c>
      <c r="D129" s="1562"/>
      <c r="E129" s="480" t="str">
        <f>FHD_NUM_P_83</f>
        <v>19.1</v>
      </c>
      <c r="F129" s="1448" t="str">
        <f>FHD_P_83</f>
        <v>Информация о показателях физического износа объектов теплоснабжения</v>
      </c>
      <c r="G129" s="1773" t="s">
        <v>514</v>
      </c>
      <c r="H129" s="335"/>
      <c r="I129" s="335"/>
      <c r="J129" s="224" t="str">
        <f>FHD_NOTE_P_83</f>
        <v>Указывается ссылка на документ, предварительно загруженный в хранилище файлов ФГИС ЕИАС.</v>
      </c>
      <c r="K129" s="477"/>
      <c r="AF129" s="1555">
        <v>0</v>
      </c>
    </row>
    <row r="130" spans="1:32" ht="18.75" customHeight="1">
      <c r="A130" s="4118"/>
      <c r="C130" s="1560" t="s">
        <v>797</v>
      </c>
      <c r="D130" s="1562"/>
      <c r="E130" s="480" t="str">
        <f>FHD_NUM_P_84</f>
        <v>19.2</v>
      </c>
      <c r="F130" s="1448" t="str">
        <f>FHD_P_84</f>
        <v>Информация о показателях энергетической эффективности объектов теплоснабжения</v>
      </c>
      <c r="G130" s="1773" t="s">
        <v>514</v>
      </c>
      <c r="H130" s="335"/>
      <c r="I130" s="335"/>
      <c r="J130" s="224" t="str">
        <f>FHD_NOTE_P_84</f>
        <v>Указывается ссылка на документ, предварительно загруженный в хранилище файлов ФГИС ЕИАС.</v>
      </c>
      <c r="K130" s="477"/>
      <c r="AF130" s="1555">
        <v>0</v>
      </c>
    </row>
    <row r="131" spans="1:32" ht="11.45" customHeight="1">
      <c r="D131" s="1562"/>
      <c r="AF131" s="1555">
        <v>11</v>
      </c>
    </row>
    <row r="132" spans="1:32" ht="13.5" customHeight="1">
      <c r="D132" s="1562"/>
      <c r="E132" s="271"/>
      <c r="F132" s="303"/>
      <c r="G132" s="303"/>
      <c r="H132" s="303"/>
      <c r="I132" s="1571"/>
      <c r="J132" s="515"/>
      <c r="AF132" s="1555">
        <v>13</v>
      </c>
    </row>
    <row r="133" spans="1:32" s="1565" customFormat="1" ht="11.45" customHeight="1">
      <c r="A133" s="914"/>
      <c r="B133" s="1560"/>
      <c r="C133" s="1560"/>
      <c r="D133" s="285"/>
      <c r="F133" s="1564"/>
      <c r="G133" s="1555"/>
      <c r="H133" s="1555"/>
      <c r="I133" s="1555"/>
      <c r="K133" s="1084"/>
      <c r="L133" s="1560"/>
      <c r="M133" s="1560"/>
      <c r="N133" s="1084"/>
      <c r="O133" s="1084"/>
      <c r="P133" s="1084"/>
      <c r="Q133" s="1084"/>
      <c r="R133" s="1560"/>
      <c r="S133" s="1084"/>
      <c r="T133" s="1084"/>
      <c r="U133" s="478"/>
      <c r="V133" s="1084"/>
      <c r="W133" s="1084"/>
      <c r="X133" s="1084"/>
      <c r="Y133" s="1084"/>
      <c r="Z133" s="1084"/>
      <c r="AA133" s="1556"/>
      <c r="AB133" s="500"/>
      <c r="AC133" s="500"/>
      <c r="AD133" s="500"/>
      <c r="AE133" s="500"/>
      <c r="AF133" s="1565">
        <v>11</v>
      </c>
    </row>
    <row r="134" spans="1:32" s="1565" customFormat="1" ht="11.45" customHeight="1">
      <c r="A134" s="914"/>
      <c r="B134" s="1560"/>
      <c r="C134" s="1560"/>
      <c r="D134" s="285"/>
      <c r="K134" s="1084"/>
      <c r="L134" s="1560"/>
      <c r="M134" s="1560"/>
      <c r="N134" s="1084"/>
      <c r="O134" s="1084"/>
      <c r="P134" s="1084"/>
      <c r="Q134" s="1084"/>
      <c r="R134" s="1560"/>
      <c r="S134" s="1084"/>
      <c r="T134" s="1084"/>
      <c r="U134" s="478"/>
      <c r="V134" s="1084"/>
      <c r="W134" s="1084"/>
      <c r="X134" s="1084"/>
      <c r="Y134" s="1084"/>
      <c r="Z134" s="1084"/>
      <c r="AA134" s="1556"/>
      <c r="AB134" s="500"/>
      <c r="AC134" s="500"/>
      <c r="AD134" s="500"/>
      <c r="AE134" s="500"/>
      <c r="AF134" s="1565">
        <v>11</v>
      </c>
    </row>
    <row r="135" spans="1:32" s="1565" customFormat="1" ht="11.45" customHeight="1">
      <c r="A135" s="914"/>
      <c r="B135" s="1560"/>
      <c r="C135" s="1560"/>
      <c r="D135" s="285"/>
      <c r="K135" s="1084"/>
      <c r="L135" s="1560"/>
      <c r="M135" s="1560"/>
      <c r="N135" s="1084"/>
      <c r="O135" s="1084"/>
      <c r="P135" s="1084"/>
      <c r="Q135" s="1084"/>
      <c r="R135" s="1560"/>
      <c r="S135" s="1084"/>
      <c r="T135" s="1084"/>
      <c r="U135" s="478"/>
      <c r="V135" s="1084"/>
      <c r="W135" s="1084"/>
      <c r="X135" s="1084"/>
      <c r="Y135" s="1084"/>
      <c r="Z135" s="1084"/>
      <c r="AA135" s="1556"/>
      <c r="AB135" s="500"/>
      <c r="AC135" s="500"/>
      <c r="AD135" s="500"/>
      <c r="AE135" s="500"/>
      <c r="AF135" s="1565">
        <v>11</v>
      </c>
    </row>
    <row r="136" spans="1:32" s="1565" customFormat="1" ht="11.45" customHeight="1">
      <c r="A136" s="914"/>
      <c r="B136" s="1560"/>
      <c r="C136" s="1560"/>
      <c r="D136" s="285"/>
      <c r="H136" s="500" t="str">
        <f>IF(H30-H31&lt;&gt;H72,"WARNING","")</f>
        <v/>
      </c>
      <c r="I136" s="500" t="str">
        <f>IF(I30-I31&lt;&gt;I72,"WARNING","")</f>
        <v/>
      </c>
      <c r="K136" s="1084"/>
      <c r="L136" s="1560"/>
      <c r="M136" s="1560"/>
      <c r="N136" s="1084"/>
      <c r="O136" s="1084"/>
      <c r="P136" s="1084"/>
      <c r="Q136" s="1084"/>
      <c r="R136" s="1560"/>
      <c r="S136" s="1084"/>
      <c r="T136" s="1084"/>
      <c r="U136" s="478"/>
      <c r="V136" s="1084"/>
      <c r="W136" s="1084"/>
      <c r="X136" s="1084"/>
      <c r="Y136" s="1084"/>
      <c r="Z136" s="1084"/>
      <c r="AA136" s="1556"/>
      <c r="AB136" s="500"/>
      <c r="AC136" s="500"/>
      <c r="AD136" s="500"/>
      <c r="AE136" s="500"/>
      <c r="AF136" s="1565">
        <v>11</v>
      </c>
    </row>
    <row r="137" spans="1:32" s="1565" customFormat="1" ht="11.45" customHeight="1">
      <c r="A137" s="914"/>
      <c r="B137" s="1560"/>
      <c r="C137" s="1560"/>
      <c r="D137" s="285"/>
      <c r="K137" s="1084"/>
      <c r="L137" s="1560"/>
      <c r="M137" s="1560"/>
      <c r="N137" s="1084"/>
      <c r="O137" s="1084"/>
      <c r="P137" s="1084"/>
      <c r="Q137" s="1084"/>
      <c r="R137" s="1560"/>
      <c r="S137" s="1084"/>
      <c r="T137" s="1084"/>
      <c r="U137" s="478"/>
      <c r="V137" s="1084"/>
      <c r="W137" s="1084"/>
      <c r="X137" s="1084"/>
      <c r="Y137" s="1084"/>
      <c r="Z137" s="1084"/>
      <c r="AA137" s="1556"/>
      <c r="AB137" s="500"/>
      <c r="AC137" s="500"/>
      <c r="AD137" s="500"/>
      <c r="AE137" s="500"/>
      <c r="AF137" s="1565">
        <v>11</v>
      </c>
    </row>
    <row r="138" spans="1:32" s="1565" customFormat="1" ht="11.45" customHeight="1">
      <c r="A138" s="914"/>
      <c r="B138" s="1560"/>
      <c r="C138" s="1560"/>
      <c r="D138" s="285"/>
      <c r="K138" s="1084"/>
      <c r="L138" s="1560"/>
      <c r="M138" s="1560"/>
      <c r="N138" s="1084"/>
      <c r="O138" s="1084"/>
      <c r="P138" s="1084"/>
      <c r="Q138" s="1084"/>
      <c r="R138" s="1560"/>
      <c r="S138" s="1084"/>
      <c r="T138" s="1084"/>
      <c r="U138" s="478"/>
      <c r="V138" s="1084"/>
      <c r="W138" s="1084"/>
      <c r="X138" s="1084"/>
      <c r="Y138" s="1084"/>
      <c r="Z138" s="1084"/>
      <c r="AA138" s="1556"/>
      <c r="AB138" s="500"/>
      <c r="AC138" s="500"/>
      <c r="AD138" s="500"/>
      <c r="AE138" s="500"/>
      <c r="AF138" s="1565">
        <v>11</v>
      </c>
    </row>
    <row r="139" spans="1:32" s="1565" customFormat="1" ht="11.45" customHeight="1">
      <c r="A139" s="914"/>
      <c r="B139" s="1560"/>
      <c r="C139" s="1560"/>
      <c r="D139" s="285"/>
      <c r="K139" s="1084"/>
      <c r="L139" s="1560"/>
      <c r="M139" s="1560"/>
      <c r="N139" s="1084"/>
      <c r="O139" s="1084"/>
      <c r="P139" s="1084"/>
      <c r="Q139" s="1084"/>
      <c r="R139" s="1560"/>
      <c r="S139" s="1084"/>
      <c r="T139" s="1084"/>
      <c r="U139" s="478"/>
      <c r="V139" s="1084"/>
      <c r="W139" s="1084"/>
      <c r="X139" s="1084"/>
      <c r="Y139" s="1084"/>
      <c r="Z139" s="1084"/>
      <c r="AA139" s="1556"/>
      <c r="AB139" s="500"/>
      <c r="AC139" s="500"/>
      <c r="AD139" s="500"/>
      <c r="AE139" s="500"/>
      <c r="AF139" s="1565">
        <v>11</v>
      </c>
    </row>
    <row r="140" spans="1:32" s="1565" customFormat="1" ht="11.45" customHeight="1">
      <c r="A140" s="914"/>
      <c r="B140" s="1560"/>
      <c r="C140" s="1560"/>
      <c r="D140" s="285"/>
      <c r="K140" s="1084"/>
      <c r="L140" s="1560"/>
      <c r="M140" s="1560"/>
      <c r="N140" s="1084"/>
      <c r="O140" s="1084"/>
      <c r="P140" s="1084"/>
      <c r="Q140" s="1084"/>
      <c r="R140" s="1560"/>
      <c r="S140" s="1084"/>
      <c r="T140" s="1084"/>
      <c r="U140" s="478"/>
      <c r="V140" s="1084"/>
      <c r="W140" s="1084"/>
      <c r="X140" s="1084"/>
      <c r="Y140" s="1084"/>
      <c r="Z140" s="1084"/>
      <c r="AA140" s="1556"/>
      <c r="AB140" s="500"/>
      <c r="AC140" s="500"/>
      <c r="AD140" s="500"/>
      <c r="AE140" s="500"/>
      <c r="AF140" s="1565">
        <v>11</v>
      </c>
    </row>
    <row r="141" spans="1:32" s="1565" customFormat="1" ht="11.45" customHeight="1">
      <c r="A141" s="914"/>
      <c r="B141" s="1560"/>
      <c r="C141" s="1560"/>
      <c r="D141" s="285"/>
      <c r="K141" s="1084"/>
      <c r="L141" s="1560"/>
      <c r="M141" s="1560"/>
      <c r="N141" s="1084"/>
      <c r="O141" s="1084"/>
      <c r="P141" s="1084"/>
      <c r="Q141" s="1084"/>
      <c r="R141" s="1560"/>
      <c r="S141" s="1084"/>
      <c r="T141" s="1084"/>
      <c r="U141" s="478"/>
      <c r="V141" s="1084"/>
      <c r="W141" s="1084"/>
      <c r="X141" s="1084"/>
      <c r="Y141" s="1084"/>
      <c r="Z141" s="1084"/>
      <c r="AA141" s="1556"/>
      <c r="AB141" s="500"/>
      <c r="AC141" s="500"/>
      <c r="AD141" s="500"/>
      <c r="AE141" s="500"/>
      <c r="AF141" s="1565">
        <v>11</v>
      </c>
    </row>
    <row r="142" spans="1:32" s="1565" customFormat="1" ht="11.45" customHeight="1">
      <c r="A142" s="914"/>
      <c r="B142" s="1560"/>
      <c r="C142" s="1560"/>
      <c r="D142" s="285"/>
      <c r="K142" s="1084"/>
      <c r="L142" s="1560"/>
      <c r="M142" s="1560"/>
      <c r="N142" s="1084"/>
      <c r="O142" s="1084"/>
      <c r="P142" s="1084"/>
      <c r="Q142" s="1084"/>
      <c r="R142" s="1560"/>
      <c r="S142" s="1084"/>
      <c r="T142" s="1084"/>
      <c r="U142" s="478"/>
      <c r="V142" s="1084"/>
      <c r="W142" s="1084"/>
      <c r="X142" s="1084"/>
      <c r="Y142" s="1084"/>
      <c r="Z142" s="1084"/>
      <c r="AA142" s="1556"/>
      <c r="AB142" s="500"/>
      <c r="AC142" s="500"/>
      <c r="AD142" s="500"/>
      <c r="AE142" s="500"/>
      <c r="AF142" s="1565">
        <v>11</v>
      </c>
    </row>
    <row r="143" spans="1:32" s="1565" customFormat="1" ht="11.45" customHeight="1">
      <c r="A143" s="914"/>
      <c r="B143" s="1560"/>
      <c r="C143" s="1560"/>
      <c r="D143" s="285"/>
      <c r="K143" s="1084"/>
      <c r="L143" s="1560"/>
      <c r="M143" s="1560"/>
      <c r="N143" s="1084"/>
      <c r="O143" s="1084"/>
      <c r="P143" s="1084"/>
      <c r="Q143" s="1084"/>
      <c r="R143" s="1560"/>
      <c r="S143" s="1084"/>
      <c r="T143" s="1084"/>
      <c r="U143" s="478"/>
      <c r="V143" s="1084"/>
      <c r="W143" s="1084"/>
      <c r="X143" s="1084"/>
      <c r="Y143" s="1084"/>
      <c r="Z143" s="1084"/>
      <c r="AA143" s="1556"/>
      <c r="AB143" s="500"/>
      <c r="AC143" s="500"/>
      <c r="AD143" s="500"/>
      <c r="AE143" s="500"/>
      <c r="AF143" s="1565">
        <v>11</v>
      </c>
    </row>
    <row r="144" spans="1:32" s="1565" customFormat="1" ht="11.45" customHeight="1">
      <c r="A144" s="914"/>
      <c r="B144" s="1560"/>
      <c r="C144" s="1560"/>
      <c r="D144" s="285"/>
      <c r="K144" s="1084"/>
      <c r="L144" s="1560"/>
      <c r="M144" s="1560"/>
      <c r="N144" s="1084"/>
      <c r="O144" s="1084"/>
      <c r="P144" s="1084"/>
      <c r="Q144" s="1084"/>
      <c r="R144" s="1560"/>
      <c r="S144" s="1084"/>
      <c r="T144" s="1084"/>
      <c r="U144" s="478"/>
      <c r="V144" s="1084"/>
      <c r="W144" s="1084"/>
      <c r="X144" s="1084"/>
      <c r="Y144" s="1084"/>
      <c r="Z144" s="1084"/>
      <c r="AA144" s="1556"/>
      <c r="AB144" s="500"/>
      <c r="AC144" s="500"/>
      <c r="AD144" s="500"/>
      <c r="AE144" s="500"/>
      <c r="AF144" s="1565">
        <v>11</v>
      </c>
    </row>
    <row r="145" spans="1:32" s="1565" customFormat="1" ht="11.45" customHeight="1">
      <c r="A145" s="914"/>
      <c r="B145" s="1560"/>
      <c r="C145" s="1560"/>
      <c r="D145" s="285"/>
      <c r="K145" s="1084"/>
      <c r="L145" s="1560"/>
      <c r="M145" s="1560"/>
      <c r="N145" s="1084"/>
      <c r="O145" s="1084"/>
      <c r="P145" s="1084"/>
      <c r="Q145" s="1084"/>
      <c r="R145" s="1560"/>
      <c r="S145" s="1084"/>
      <c r="T145" s="1084"/>
      <c r="U145" s="478"/>
      <c r="V145" s="1084"/>
      <c r="W145" s="1084"/>
      <c r="X145" s="1084"/>
      <c r="Y145" s="1084"/>
      <c r="Z145" s="1084"/>
      <c r="AA145" s="1556"/>
      <c r="AB145" s="500"/>
      <c r="AC145" s="500"/>
      <c r="AD145" s="500"/>
      <c r="AE145" s="500"/>
      <c r="AF145" s="1565">
        <v>11</v>
      </c>
    </row>
    <row r="146" spans="1:32" s="1565" customFormat="1" ht="11.45" customHeight="1">
      <c r="A146" s="914"/>
      <c r="B146" s="1560"/>
      <c r="C146" s="1560"/>
      <c r="D146" s="285"/>
      <c r="K146" s="1084"/>
      <c r="L146" s="1560"/>
      <c r="M146" s="1560"/>
      <c r="N146" s="1084"/>
      <c r="O146" s="1084"/>
      <c r="P146" s="1084"/>
      <c r="Q146" s="1084"/>
      <c r="R146" s="1560"/>
      <c r="S146" s="1084"/>
      <c r="T146" s="1084"/>
      <c r="U146" s="478"/>
      <c r="V146" s="1084"/>
      <c r="W146" s="1084"/>
      <c r="X146" s="1084"/>
      <c r="Y146" s="1084"/>
      <c r="Z146" s="1084"/>
      <c r="AA146" s="1556"/>
      <c r="AB146" s="500"/>
      <c r="AC146" s="500"/>
      <c r="AD146" s="500"/>
      <c r="AE146" s="500"/>
      <c r="AF146" s="1565">
        <v>11</v>
      </c>
    </row>
    <row r="147" spans="1:32" s="1565" customFormat="1" ht="11.45" customHeight="1">
      <c r="A147" s="914"/>
      <c r="B147" s="1560"/>
      <c r="C147" s="1560"/>
      <c r="D147" s="285"/>
      <c r="K147" s="1084"/>
      <c r="L147" s="1560"/>
      <c r="M147" s="1560"/>
      <c r="N147" s="1084"/>
      <c r="O147" s="1084"/>
      <c r="P147" s="1084"/>
      <c r="Q147" s="1084"/>
      <c r="R147" s="1560"/>
      <c r="S147" s="1084"/>
      <c r="T147" s="1084"/>
      <c r="U147" s="478"/>
      <c r="V147" s="1084"/>
      <c r="W147" s="1084"/>
      <c r="X147" s="1084"/>
      <c r="Y147" s="1084"/>
      <c r="Z147" s="1084"/>
      <c r="AA147" s="1556"/>
      <c r="AB147" s="500"/>
      <c r="AC147" s="500"/>
      <c r="AD147" s="500"/>
      <c r="AE147" s="500"/>
      <c r="AF147" s="1565">
        <v>11</v>
      </c>
    </row>
    <row r="148" spans="1:32" s="1565" customFormat="1" ht="11.45" customHeight="1">
      <c r="A148" s="914"/>
      <c r="B148" s="1560"/>
      <c r="C148" s="1560"/>
      <c r="D148" s="285"/>
      <c r="K148" s="1084"/>
      <c r="L148" s="1560"/>
      <c r="M148" s="1560"/>
      <c r="N148" s="1084"/>
      <c r="O148" s="1084"/>
      <c r="P148" s="1084"/>
      <c r="Q148" s="1084"/>
      <c r="R148" s="1560"/>
      <c r="S148" s="1084"/>
      <c r="T148" s="1084"/>
      <c r="U148" s="478"/>
      <c r="V148" s="1084"/>
      <c r="W148" s="1084"/>
      <c r="X148" s="1084"/>
      <c r="Y148" s="1084"/>
      <c r="Z148" s="1084"/>
      <c r="AA148" s="1556"/>
      <c r="AB148" s="500"/>
      <c r="AC148" s="500"/>
      <c r="AD148" s="500"/>
      <c r="AE148" s="500"/>
      <c r="AF148" s="1565">
        <v>11</v>
      </c>
    </row>
    <row r="149" spans="1:32" s="1565" customFormat="1" ht="11.45" customHeight="1">
      <c r="A149" s="914"/>
      <c r="B149" s="1560"/>
      <c r="C149" s="1560"/>
      <c r="D149" s="285"/>
      <c r="K149" s="1084"/>
      <c r="L149" s="1560"/>
      <c r="M149" s="1560"/>
      <c r="N149" s="1084"/>
      <c r="O149" s="1084"/>
      <c r="P149" s="1084"/>
      <c r="Q149" s="1084"/>
      <c r="R149" s="1560"/>
      <c r="S149" s="1084"/>
      <c r="T149" s="1084"/>
      <c r="U149" s="478"/>
      <c r="V149" s="1084"/>
      <c r="W149" s="1084"/>
      <c r="X149" s="1084"/>
      <c r="Y149" s="1084"/>
      <c r="Z149" s="1084"/>
      <c r="AA149" s="1556"/>
      <c r="AB149" s="500"/>
      <c r="AC149" s="500"/>
      <c r="AD149" s="500"/>
      <c r="AE149" s="500"/>
      <c r="AF149" s="1565">
        <v>11</v>
      </c>
    </row>
    <row r="150" spans="1:32" s="1565" customFormat="1" ht="11.45" customHeight="1">
      <c r="A150" s="914"/>
      <c r="B150" s="1560"/>
      <c r="C150" s="1560"/>
      <c r="D150" s="285"/>
      <c r="K150" s="1084"/>
      <c r="L150" s="1560"/>
      <c r="M150" s="1560"/>
      <c r="N150" s="1084"/>
      <c r="O150" s="1084"/>
      <c r="P150" s="1084"/>
      <c r="Q150" s="1084"/>
      <c r="R150" s="1560"/>
      <c r="S150" s="1084"/>
      <c r="T150" s="1084"/>
      <c r="U150" s="478"/>
      <c r="V150" s="1084"/>
      <c r="W150" s="1084"/>
      <c r="X150" s="1084"/>
      <c r="Y150" s="1084"/>
      <c r="Z150" s="1084"/>
      <c r="AA150" s="1556"/>
      <c r="AB150" s="500"/>
      <c r="AC150" s="500"/>
      <c r="AD150" s="500"/>
      <c r="AE150" s="500"/>
      <c r="AF150" s="1565">
        <v>11</v>
      </c>
    </row>
    <row r="151" spans="1:32" s="1565" customFormat="1" ht="11.45" customHeight="1">
      <c r="A151" s="914"/>
      <c r="B151" s="1560"/>
      <c r="C151" s="1560"/>
      <c r="D151" s="285"/>
      <c r="K151" s="1084"/>
      <c r="L151" s="1560"/>
      <c r="M151" s="1560"/>
      <c r="N151" s="1084"/>
      <c r="O151" s="1084"/>
      <c r="P151" s="1084"/>
      <c r="Q151" s="1084"/>
      <c r="R151" s="1560"/>
      <c r="S151" s="1084"/>
      <c r="T151" s="1084"/>
      <c r="U151" s="478"/>
      <c r="V151" s="1084"/>
      <c r="W151" s="1084"/>
      <c r="X151" s="1084"/>
      <c r="Y151" s="1084"/>
      <c r="Z151" s="1084"/>
      <c r="AA151" s="1556"/>
      <c r="AB151" s="500"/>
      <c r="AC151" s="500"/>
      <c r="AD151" s="500"/>
      <c r="AE151" s="500"/>
      <c r="AF151" s="1565">
        <v>11</v>
      </c>
    </row>
    <row r="152" spans="1:32" s="1565" customFormat="1" ht="11.45" customHeight="1">
      <c r="A152" s="914"/>
      <c r="B152" s="1560"/>
      <c r="C152" s="1560"/>
      <c r="D152" s="285"/>
      <c r="K152" s="1084"/>
      <c r="L152" s="1560"/>
      <c r="M152" s="1560"/>
      <c r="N152" s="1084"/>
      <c r="O152" s="1084"/>
      <c r="P152" s="1084"/>
      <c r="Q152" s="1084"/>
      <c r="R152" s="1560"/>
      <c r="S152" s="1084"/>
      <c r="T152" s="1084"/>
      <c r="U152" s="478"/>
      <c r="V152" s="1084"/>
      <c r="W152" s="1084"/>
      <c r="X152" s="1084"/>
      <c r="Y152" s="1084"/>
      <c r="Z152" s="1084"/>
      <c r="AA152" s="1556"/>
      <c r="AB152" s="500"/>
      <c r="AC152" s="500"/>
      <c r="AD152" s="500"/>
      <c r="AE152" s="500"/>
      <c r="AF152" s="1565">
        <v>11</v>
      </c>
    </row>
    <row r="153" spans="1:32" s="1565" customFormat="1" ht="11.45" customHeight="1">
      <c r="A153" s="914"/>
      <c r="B153" s="1560"/>
      <c r="C153" s="1560"/>
      <c r="D153" s="285"/>
      <c r="K153" s="1084"/>
      <c r="L153" s="1560"/>
      <c r="M153" s="1560"/>
      <c r="N153" s="1084"/>
      <c r="O153" s="1084"/>
      <c r="P153" s="1084"/>
      <c r="Q153" s="1084"/>
      <c r="R153" s="1560"/>
      <c r="S153" s="1084"/>
      <c r="T153" s="1084"/>
      <c r="U153" s="478"/>
      <c r="V153" s="1084"/>
      <c r="W153" s="1084"/>
      <c r="X153" s="1084"/>
      <c r="Y153" s="1084"/>
      <c r="Z153" s="1084"/>
      <c r="AA153" s="1556"/>
      <c r="AB153" s="500"/>
      <c r="AC153" s="500"/>
      <c r="AD153" s="500"/>
      <c r="AE153" s="500"/>
      <c r="AF153" s="1565">
        <v>11</v>
      </c>
    </row>
    <row r="154" spans="1:32" s="1565" customFormat="1" ht="11.45" customHeight="1">
      <c r="A154" s="914"/>
      <c r="B154" s="1560"/>
      <c r="C154" s="1560"/>
      <c r="D154" s="285"/>
      <c r="K154" s="1084"/>
      <c r="L154" s="1560"/>
      <c r="M154" s="1560"/>
      <c r="N154" s="1084"/>
      <c r="O154" s="1084"/>
      <c r="P154" s="1084"/>
      <c r="Q154" s="1084"/>
      <c r="R154" s="1560"/>
      <c r="S154" s="1084"/>
      <c r="T154" s="1084"/>
      <c r="U154" s="478"/>
      <c r="V154" s="1084"/>
      <c r="W154" s="1084"/>
      <c r="X154" s="1084"/>
      <c r="Y154" s="1084"/>
      <c r="Z154" s="1084"/>
      <c r="AA154" s="1556"/>
      <c r="AB154" s="500"/>
      <c r="AC154" s="500"/>
      <c r="AD154" s="500"/>
      <c r="AE154" s="500"/>
      <c r="AF154" s="1565">
        <v>11</v>
      </c>
    </row>
    <row r="155" spans="1:32" s="1565" customFormat="1" ht="11.45" customHeight="1">
      <c r="A155" s="914"/>
      <c r="B155" s="1560"/>
      <c r="C155" s="1560"/>
      <c r="D155" s="285"/>
      <c r="K155" s="1084"/>
      <c r="L155" s="1560"/>
      <c r="M155" s="1560"/>
      <c r="N155" s="1084"/>
      <c r="O155" s="1084"/>
      <c r="P155" s="1084"/>
      <c r="Q155" s="1084"/>
      <c r="R155" s="1560"/>
      <c r="S155" s="1084"/>
      <c r="T155" s="1084"/>
      <c r="U155" s="478"/>
      <c r="V155" s="1084"/>
      <c r="W155" s="1084"/>
      <c r="X155" s="1084"/>
      <c r="Y155" s="1084"/>
      <c r="Z155" s="1084"/>
      <c r="AA155" s="1556"/>
      <c r="AB155" s="500"/>
      <c r="AC155" s="500"/>
      <c r="AD155" s="500"/>
      <c r="AE155" s="500"/>
      <c r="AF155" s="1565">
        <v>11</v>
      </c>
    </row>
    <row r="156" spans="1:32" s="1565" customFormat="1" ht="11.45" customHeight="1">
      <c r="A156" s="914"/>
      <c r="B156" s="1560"/>
      <c r="C156" s="1560"/>
      <c r="D156" s="285"/>
      <c r="K156" s="1084"/>
      <c r="L156" s="1560"/>
      <c r="M156" s="1560"/>
      <c r="N156" s="1084"/>
      <c r="O156" s="1084"/>
      <c r="P156" s="1084"/>
      <c r="Q156" s="1084"/>
      <c r="R156" s="1560"/>
      <c r="S156" s="1084"/>
      <c r="T156" s="1084"/>
      <c r="U156" s="478"/>
      <c r="V156" s="1084"/>
      <c r="W156" s="1084"/>
      <c r="X156" s="1084"/>
      <c r="Y156" s="1084"/>
      <c r="Z156" s="1084"/>
      <c r="AA156" s="1556"/>
      <c r="AB156" s="500"/>
      <c r="AC156" s="500"/>
      <c r="AD156" s="500"/>
      <c r="AE156" s="500"/>
      <c r="AF156" s="1565">
        <v>11</v>
      </c>
    </row>
    <row r="157" spans="1:32" s="1565" customFormat="1" ht="11.45" customHeight="1">
      <c r="A157" s="914"/>
      <c r="B157" s="1560"/>
      <c r="C157" s="1560"/>
      <c r="D157" s="285"/>
      <c r="K157" s="1084"/>
      <c r="L157" s="1560"/>
      <c r="M157" s="1560"/>
      <c r="N157" s="1084"/>
      <c r="O157" s="1084"/>
      <c r="P157" s="1084"/>
      <c r="Q157" s="1084"/>
      <c r="R157" s="1560"/>
      <c r="S157" s="1084"/>
      <c r="T157" s="1084"/>
      <c r="U157" s="478"/>
      <c r="V157" s="1084"/>
      <c r="W157" s="1084"/>
      <c r="X157" s="1084"/>
      <c r="Y157" s="1084"/>
      <c r="Z157" s="1084"/>
      <c r="AA157" s="1556"/>
      <c r="AB157" s="500"/>
      <c r="AC157" s="500"/>
      <c r="AD157" s="500"/>
      <c r="AE157" s="500"/>
      <c r="AF157" s="1565">
        <v>11</v>
      </c>
    </row>
    <row r="158" spans="1:32" s="1565" customFormat="1" ht="11.45" customHeight="1">
      <c r="A158" s="914"/>
      <c r="B158" s="1560"/>
      <c r="C158" s="1560"/>
      <c r="D158" s="285"/>
      <c r="K158" s="1084"/>
      <c r="L158" s="1560"/>
      <c r="M158" s="1560"/>
      <c r="N158" s="1084"/>
      <c r="O158" s="1084"/>
      <c r="P158" s="1084"/>
      <c r="Q158" s="1084"/>
      <c r="R158" s="1560"/>
      <c r="S158" s="1084"/>
      <c r="T158" s="1084"/>
      <c r="U158" s="478"/>
      <c r="V158" s="1084"/>
      <c r="W158" s="1084"/>
      <c r="X158" s="1084"/>
      <c r="Y158" s="1084"/>
      <c r="Z158" s="1084"/>
      <c r="AA158" s="1556"/>
      <c r="AB158" s="500"/>
      <c r="AC158" s="500"/>
      <c r="AD158" s="500"/>
      <c r="AE158" s="500"/>
      <c r="AF158" s="1565">
        <v>11</v>
      </c>
    </row>
    <row r="159" spans="1:32" s="1565" customFormat="1" ht="11.45" customHeight="1">
      <c r="A159" s="914"/>
      <c r="B159" s="1560"/>
      <c r="C159" s="1560"/>
      <c r="D159" s="285"/>
      <c r="K159" s="1084"/>
      <c r="L159" s="1560"/>
      <c r="M159" s="1560"/>
      <c r="N159" s="1084"/>
      <c r="O159" s="1084"/>
      <c r="P159" s="1084"/>
      <c r="Q159" s="1084"/>
      <c r="R159" s="1560"/>
      <c r="S159" s="1084"/>
      <c r="T159" s="1084"/>
      <c r="U159" s="478"/>
      <c r="V159" s="1084"/>
      <c r="W159" s="1084"/>
      <c r="X159" s="1084"/>
      <c r="Y159" s="1084"/>
      <c r="Z159" s="1084"/>
      <c r="AA159" s="1556"/>
      <c r="AB159" s="500"/>
      <c r="AC159" s="500"/>
      <c r="AD159" s="500"/>
      <c r="AE159" s="500"/>
      <c r="AF159" s="1565">
        <v>11</v>
      </c>
    </row>
    <row r="160" spans="1:32" s="1565" customFormat="1" ht="11.45" customHeight="1">
      <c r="A160" s="914"/>
      <c r="B160" s="1560"/>
      <c r="C160" s="1560"/>
      <c r="D160" s="285"/>
      <c r="K160" s="1084"/>
      <c r="L160" s="1560"/>
      <c r="M160" s="1560"/>
      <c r="N160" s="1084"/>
      <c r="O160" s="1084"/>
      <c r="P160" s="1084"/>
      <c r="Q160" s="1084"/>
      <c r="R160" s="1560"/>
      <c r="S160" s="1084"/>
      <c r="T160" s="1084"/>
      <c r="U160" s="478"/>
      <c r="V160" s="1084"/>
      <c r="W160" s="1084"/>
      <c r="X160" s="1084"/>
      <c r="Y160" s="1084"/>
      <c r="Z160" s="1084"/>
      <c r="AA160" s="1556"/>
      <c r="AB160" s="500"/>
      <c r="AC160" s="500"/>
      <c r="AD160" s="500"/>
      <c r="AE160" s="500"/>
      <c r="AF160" s="1565">
        <v>11</v>
      </c>
    </row>
    <row r="161" spans="1:32" s="1565" customFormat="1" ht="11.45" customHeight="1">
      <c r="A161" s="914"/>
      <c r="B161" s="1560"/>
      <c r="C161" s="1560"/>
      <c r="D161" s="285"/>
      <c r="K161" s="1084"/>
      <c r="L161" s="1560"/>
      <c r="M161" s="1560"/>
      <c r="N161" s="1084"/>
      <c r="O161" s="1084"/>
      <c r="P161" s="1084"/>
      <c r="Q161" s="1084"/>
      <c r="R161" s="1560"/>
      <c r="S161" s="1084"/>
      <c r="T161" s="1084"/>
      <c r="U161" s="478"/>
      <c r="V161" s="1084"/>
      <c r="W161" s="1084"/>
      <c r="X161" s="1084"/>
      <c r="Y161" s="1084"/>
      <c r="Z161" s="1084"/>
      <c r="AA161" s="1556"/>
      <c r="AB161" s="500"/>
      <c r="AC161" s="500"/>
      <c r="AD161" s="500"/>
      <c r="AE161" s="500"/>
      <c r="AF161" s="1565">
        <v>11</v>
      </c>
    </row>
    <row r="162" spans="1:32" s="1565" customFormat="1" ht="11.45" customHeight="1">
      <c r="A162" s="914"/>
      <c r="B162" s="1560"/>
      <c r="C162" s="1560"/>
      <c r="D162" s="285"/>
      <c r="K162" s="1084"/>
      <c r="L162" s="1560"/>
      <c r="M162" s="1560"/>
      <c r="N162" s="1084"/>
      <c r="O162" s="1084"/>
      <c r="P162" s="1084"/>
      <c r="Q162" s="1084"/>
      <c r="R162" s="1560"/>
      <c r="S162" s="1084"/>
      <c r="T162" s="1084"/>
      <c r="U162" s="478"/>
      <c r="V162" s="1084"/>
      <c r="W162" s="1084"/>
      <c r="X162" s="1084"/>
      <c r="Y162" s="1084"/>
      <c r="Z162" s="1084"/>
      <c r="AA162" s="1556"/>
      <c r="AB162" s="500"/>
      <c r="AC162" s="500"/>
      <c r="AD162" s="500"/>
      <c r="AE162" s="500"/>
      <c r="AF162" s="1565">
        <v>11</v>
      </c>
    </row>
    <row r="163" spans="1:32" s="1565" customFormat="1" ht="11.45" customHeight="1">
      <c r="A163" s="914"/>
      <c r="B163" s="1560"/>
      <c r="C163" s="1560"/>
      <c r="D163" s="285"/>
      <c r="K163" s="1084"/>
      <c r="L163" s="1560"/>
      <c r="M163" s="1560"/>
      <c r="N163" s="1084"/>
      <c r="O163" s="1084"/>
      <c r="P163" s="1084"/>
      <c r="Q163" s="1084"/>
      <c r="R163" s="1560"/>
      <c r="S163" s="1084"/>
      <c r="T163" s="1084"/>
      <c r="U163" s="478"/>
      <c r="V163" s="1084"/>
      <c r="W163" s="1084"/>
      <c r="X163" s="1084"/>
      <c r="Y163" s="1084"/>
      <c r="Z163" s="1084"/>
      <c r="AA163" s="1556"/>
      <c r="AB163" s="500"/>
      <c r="AC163" s="500"/>
      <c r="AD163" s="500"/>
      <c r="AE163" s="500"/>
      <c r="AF163" s="1565">
        <v>11</v>
      </c>
    </row>
    <row r="164" spans="1:32" s="1565" customFormat="1" ht="11.45" customHeight="1">
      <c r="A164" s="914"/>
      <c r="B164" s="1560"/>
      <c r="C164" s="1560"/>
      <c r="D164" s="285"/>
      <c r="K164" s="1084"/>
      <c r="L164" s="1560"/>
      <c r="M164" s="1560"/>
      <c r="N164" s="1084"/>
      <c r="O164" s="1084"/>
      <c r="P164" s="1084"/>
      <c r="Q164" s="1084"/>
      <c r="R164" s="1560"/>
      <c r="S164" s="1084"/>
      <c r="T164" s="1084"/>
      <c r="U164" s="478"/>
      <c r="V164" s="1084"/>
      <c r="W164" s="1084"/>
      <c r="X164" s="1084"/>
      <c r="Y164" s="1084"/>
      <c r="Z164" s="1084"/>
      <c r="AA164" s="1556"/>
      <c r="AB164" s="500"/>
      <c r="AC164" s="500"/>
      <c r="AD164" s="500"/>
      <c r="AE164" s="500"/>
      <c r="AF164" s="1565">
        <v>11</v>
      </c>
    </row>
    <row r="165" spans="1:32" s="1565" customFormat="1" ht="11.45" customHeight="1">
      <c r="A165" s="914"/>
      <c r="B165" s="1560"/>
      <c r="C165" s="1560"/>
      <c r="D165" s="285"/>
      <c r="K165" s="1084"/>
      <c r="L165" s="1560"/>
      <c r="M165" s="1560"/>
      <c r="N165" s="1084"/>
      <c r="O165" s="1084"/>
      <c r="P165" s="1084"/>
      <c r="Q165" s="1084"/>
      <c r="R165" s="1560"/>
      <c r="S165" s="1084"/>
      <c r="T165" s="1084"/>
      <c r="U165" s="478"/>
      <c r="V165" s="1084"/>
      <c r="W165" s="1084"/>
      <c r="X165" s="1084"/>
      <c r="Y165" s="1084"/>
      <c r="Z165" s="1084"/>
      <c r="AA165" s="1556"/>
      <c r="AB165" s="500"/>
      <c r="AC165" s="500"/>
      <c r="AD165" s="500"/>
      <c r="AE165" s="500"/>
      <c r="AF165" s="1565">
        <v>11</v>
      </c>
    </row>
    <row r="166" spans="1:32" s="1565" customFormat="1" ht="11.45" customHeight="1">
      <c r="A166" s="914"/>
      <c r="B166" s="1560"/>
      <c r="C166" s="1560"/>
      <c r="D166" s="285"/>
      <c r="K166" s="1084"/>
      <c r="L166" s="1560"/>
      <c r="M166" s="1560"/>
      <c r="N166" s="1084"/>
      <c r="O166" s="1084"/>
      <c r="P166" s="1084"/>
      <c r="Q166" s="1084"/>
      <c r="R166" s="1560"/>
      <c r="S166" s="1084"/>
      <c r="T166" s="1084"/>
      <c r="U166" s="478"/>
      <c r="V166" s="1084"/>
      <c r="W166" s="1084"/>
      <c r="X166" s="1084"/>
      <c r="Y166" s="1084"/>
      <c r="Z166" s="1084"/>
      <c r="AA166" s="1556"/>
      <c r="AB166" s="500"/>
      <c r="AC166" s="500"/>
      <c r="AD166" s="500"/>
      <c r="AE166" s="500"/>
      <c r="AF166" s="1565">
        <v>11</v>
      </c>
    </row>
    <row r="167" spans="1:32" s="1565" customFormat="1" ht="11.45" customHeight="1">
      <c r="A167" s="914"/>
      <c r="B167" s="1560"/>
      <c r="C167" s="1560"/>
      <c r="D167" s="285"/>
      <c r="K167" s="1084"/>
      <c r="L167" s="1560"/>
      <c r="M167" s="1560"/>
      <c r="N167" s="1084"/>
      <c r="O167" s="1084"/>
      <c r="P167" s="1084"/>
      <c r="Q167" s="1084"/>
      <c r="R167" s="1560"/>
      <c r="S167" s="1084"/>
      <c r="T167" s="1084"/>
      <c r="U167" s="478"/>
      <c r="V167" s="1084"/>
      <c r="W167" s="1084"/>
      <c r="X167" s="1084"/>
      <c r="Y167" s="1084"/>
      <c r="Z167" s="1084"/>
      <c r="AA167" s="1556"/>
      <c r="AB167" s="500"/>
      <c r="AC167" s="500"/>
      <c r="AD167" s="500"/>
      <c r="AE167" s="500"/>
      <c r="AF167" s="1565">
        <v>11</v>
      </c>
    </row>
    <row r="168" spans="1:32" s="1565" customFormat="1" ht="11.45" customHeight="1">
      <c r="A168" s="914"/>
      <c r="B168" s="1560"/>
      <c r="C168" s="1560"/>
      <c r="D168" s="285"/>
      <c r="K168" s="1084"/>
      <c r="L168" s="1560"/>
      <c r="M168" s="1560"/>
      <c r="N168" s="1084"/>
      <c r="O168" s="1084"/>
      <c r="P168" s="1084"/>
      <c r="Q168" s="1084"/>
      <c r="R168" s="1560"/>
      <c r="S168" s="1084"/>
      <c r="T168" s="1084"/>
      <c r="U168" s="478"/>
      <c r="V168" s="1084"/>
      <c r="W168" s="1084"/>
      <c r="X168" s="1084"/>
      <c r="Y168" s="1084"/>
      <c r="Z168" s="1084"/>
      <c r="AA168" s="1556"/>
      <c r="AB168" s="500"/>
      <c r="AC168" s="500"/>
      <c r="AD168" s="500"/>
      <c r="AE168" s="500"/>
      <c r="AF168" s="1565">
        <v>11</v>
      </c>
    </row>
    <row r="169" spans="1:32" s="1565" customFormat="1" ht="11.45" customHeight="1">
      <c r="A169" s="914"/>
      <c r="B169" s="1560"/>
      <c r="C169" s="1560"/>
      <c r="D169" s="285"/>
      <c r="K169" s="1084"/>
      <c r="L169" s="1560"/>
      <c r="M169" s="1560"/>
      <c r="N169" s="1084"/>
      <c r="O169" s="1084"/>
      <c r="P169" s="1084"/>
      <c r="Q169" s="1084"/>
      <c r="R169" s="1560"/>
      <c r="S169" s="1084"/>
      <c r="T169" s="1084"/>
      <c r="U169" s="478"/>
      <c r="V169" s="1084"/>
      <c r="W169" s="1084"/>
      <c r="X169" s="1084"/>
      <c r="Y169" s="1084"/>
      <c r="Z169" s="1084"/>
      <c r="AA169" s="1556"/>
      <c r="AB169" s="500"/>
      <c r="AC169" s="500"/>
      <c r="AD169" s="500"/>
      <c r="AE169" s="500"/>
      <c r="AF169" s="1565">
        <v>11</v>
      </c>
    </row>
    <row r="170" spans="1:32" s="1565" customFormat="1" ht="11.45" customHeight="1">
      <c r="A170" s="914"/>
      <c r="B170" s="1560"/>
      <c r="C170" s="1560"/>
      <c r="D170" s="285"/>
      <c r="K170" s="1084"/>
      <c r="L170" s="1560"/>
      <c r="M170" s="1560"/>
      <c r="N170" s="1084"/>
      <c r="O170" s="1084"/>
      <c r="P170" s="1084"/>
      <c r="Q170" s="1084"/>
      <c r="R170" s="1560"/>
      <c r="S170" s="1084"/>
      <c r="T170" s="1084"/>
      <c r="U170" s="478"/>
      <c r="V170" s="1084"/>
      <c r="W170" s="1084"/>
      <c r="X170" s="1084"/>
      <c r="Y170" s="1084"/>
      <c r="Z170" s="1084"/>
      <c r="AA170" s="1556"/>
      <c r="AB170" s="500"/>
      <c r="AC170" s="500"/>
      <c r="AD170" s="500"/>
      <c r="AE170" s="500"/>
      <c r="AF170" s="1565">
        <v>11</v>
      </c>
    </row>
    <row r="171" spans="1:32" s="1565" customFormat="1" ht="11.45" customHeight="1">
      <c r="A171" s="914"/>
      <c r="B171" s="1560"/>
      <c r="C171" s="1560"/>
      <c r="D171" s="285"/>
      <c r="K171" s="1084"/>
      <c r="L171" s="1560"/>
      <c r="M171" s="1560"/>
      <c r="N171" s="1084"/>
      <c r="O171" s="1084"/>
      <c r="P171" s="1084"/>
      <c r="Q171" s="1084"/>
      <c r="R171" s="1560"/>
      <c r="S171" s="1084"/>
      <c r="T171" s="1084"/>
      <c r="U171" s="478"/>
      <c r="V171" s="1084"/>
      <c r="W171" s="1084"/>
      <c r="X171" s="1084"/>
      <c r="Y171" s="1084"/>
      <c r="Z171" s="1084"/>
      <c r="AA171" s="1556"/>
      <c r="AB171" s="500"/>
      <c r="AC171" s="500"/>
      <c r="AD171" s="500"/>
      <c r="AE171" s="500"/>
      <c r="AF171" s="1565">
        <v>11</v>
      </c>
    </row>
    <row r="172" spans="1:32" s="1565" customFormat="1" ht="11.45" customHeight="1">
      <c r="A172" s="914"/>
      <c r="B172" s="1560"/>
      <c r="C172" s="1560"/>
      <c r="D172" s="285"/>
      <c r="K172" s="1084"/>
      <c r="L172" s="1560"/>
      <c r="M172" s="1560"/>
      <c r="N172" s="1084"/>
      <c r="O172" s="1084"/>
      <c r="P172" s="1084"/>
      <c r="Q172" s="1084"/>
      <c r="R172" s="1560"/>
      <c r="S172" s="1084"/>
      <c r="T172" s="1084"/>
      <c r="U172" s="478"/>
      <c r="V172" s="1084"/>
      <c r="W172" s="1084"/>
      <c r="X172" s="1084"/>
      <c r="Y172" s="1084"/>
      <c r="Z172" s="1084"/>
      <c r="AA172" s="1556"/>
      <c r="AB172" s="500"/>
      <c r="AC172" s="500"/>
      <c r="AD172" s="500"/>
      <c r="AE172" s="500"/>
      <c r="AF172" s="1565">
        <v>11</v>
      </c>
    </row>
    <row r="173" spans="1:32" s="1565" customFormat="1" ht="11.45" customHeight="1">
      <c r="A173" s="914"/>
      <c r="B173" s="1560"/>
      <c r="C173" s="1560"/>
      <c r="D173" s="285"/>
      <c r="K173" s="1084"/>
      <c r="L173" s="1560"/>
      <c r="M173" s="1560"/>
      <c r="N173" s="1084"/>
      <c r="O173" s="1084"/>
      <c r="P173" s="1084"/>
      <c r="Q173" s="1084"/>
      <c r="R173" s="1560"/>
      <c r="S173" s="1084"/>
      <c r="T173" s="1084"/>
      <c r="U173" s="478"/>
      <c r="V173" s="1084"/>
      <c r="W173" s="1084"/>
      <c r="X173" s="1084"/>
      <c r="Y173" s="1084"/>
      <c r="Z173" s="1084"/>
      <c r="AA173" s="1556"/>
      <c r="AB173" s="500"/>
      <c r="AC173" s="500"/>
      <c r="AD173" s="500"/>
      <c r="AE173" s="500"/>
      <c r="AF173" s="1565">
        <v>11</v>
      </c>
    </row>
    <row r="174" spans="1:32" s="1565" customFormat="1" ht="11.45" customHeight="1">
      <c r="A174" s="914"/>
      <c r="B174" s="1560"/>
      <c r="C174" s="1560"/>
      <c r="D174" s="285"/>
      <c r="K174" s="1084"/>
      <c r="L174" s="1560"/>
      <c r="M174" s="1560"/>
      <c r="N174" s="1084"/>
      <c r="O174" s="1084"/>
      <c r="P174" s="1084"/>
      <c r="Q174" s="1084"/>
      <c r="R174" s="1560"/>
      <c r="S174" s="1084"/>
      <c r="T174" s="1084"/>
      <c r="U174" s="478"/>
      <c r="V174" s="1084"/>
      <c r="W174" s="1084"/>
      <c r="X174" s="1084"/>
      <c r="Y174" s="1084"/>
      <c r="Z174" s="1084"/>
      <c r="AA174" s="1556"/>
      <c r="AB174" s="500"/>
      <c r="AC174" s="500"/>
      <c r="AD174" s="500"/>
      <c r="AE174" s="500"/>
      <c r="AF174" s="1565">
        <v>11</v>
      </c>
    </row>
    <row r="175" spans="1:32" s="1565" customFormat="1" ht="11.45" customHeight="1">
      <c r="A175" s="914"/>
      <c r="B175" s="1560"/>
      <c r="C175" s="1560"/>
      <c r="D175" s="285"/>
      <c r="K175" s="1084"/>
      <c r="L175" s="1560"/>
      <c r="M175" s="1560"/>
      <c r="N175" s="1084"/>
      <c r="O175" s="1084"/>
      <c r="P175" s="1084"/>
      <c r="Q175" s="1084"/>
      <c r="R175" s="1560"/>
      <c r="S175" s="1084"/>
      <c r="T175" s="1084"/>
      <c r="U175" s="478"/>
      <c r="V175" s="1084"/>
      <c r="W175" s="1084"/>
      <c r="X175" s="1084"/>
      <c r="Y175" s="1084"/>
      <c r="Z175" s="1084"/>
      <c r="AA175" s="1556"/>
      <c r="AB175" s="500"/>
      <c r="AC175" s="500"/>
      <c r="AD175" s="500"/>
      <c r="AE175" s="500"/>
      <c r="AF175" s="1565">
        <v>11</v>
      </c>
    </row>
    <row r="176" spans="1:32" s="1565" customFormat="1" ht="11.45" customHeight="1">
      <c r="A176" s="914"/>
      <c r="B176" s="1560"/>
      <c r="C176" s="1560"/>
      <c r="D176" s="285"/>
      <c r="K176" s="1084"/>
      <c r="L176" s="1560"/>
      <c r="M176" s="1560"/>
      <c r="N176" s="1084"/>
      <c r="O176" s="1084"/>
      <c r="P176" s="1084"/>
      <c r="Q176" s="1084"/>
      <c r="R176" s="1560"/>
      <c r="S176" s="1084"/>
      <c r="T176" s="1084"/>
      <c r="U176" s="478"/>
      <c r="V176" s="1084"/>
      <c r="W176" s="1084"/>
      <c r="X176" s="1084"/>
      <c r="Y176" s="1084"/>
      <c r="Z176" s="1084"/>
      <c r="AA176" s="1556"/>
      <c r="AB176" s="500"/>
      <c r="AC176" s="500"/>
      <c r="AD176" s="500"/>
      <c r="AE176" s="500"/>
      <c r="AF176" s="1565">
        <v>11</v>
      </c>
    </row>
    <row r="177" spans="1:32" s="1565" customFormat="1" ht="11.45" customHeight="1">
      <c r="A177" s="914"/>
      <c r="B177" s="1560"/>
      <c r="C177" s="1560"/>
      <c r="D177" s="285"/>
      <c r="K177" s="1084"/>
      <c r="L177" s="1560"/>
      <c r="M177" s="1560"/>
      <c r="N177" s="1084"/>
      <c r="O177" s="1084"/>
      <c r="P177" s="1084"/>
      <c r="Q177" s="1084"/>
      <c r="R177" s="1560"/>
      <c r="S177" s="1084"/>
      <c r="T177" s="1084"/>
      <c r="U177" s="478"/>
      <c r="V177" s="1084"/>
      <c r="W177" s="1084"/>
      <c r="X177" s="1084"/>
      <c r="Y177" s="1084"/>
      <c r="Z177" s="1084"/>
      <c r="AA177" s="1556"/>
      <c r="AB177" s="500"/>
      <c r="AC177" s="500"/>
      <c r="AD177" s="500"/>
      <c r="AE177" s="500"/>
      <c r="AF177" s="1565">
        <v>11</v>
      </c>
    </row>
    <row r="178" spans="1:32" s="1565" customFormat="1" ht="11.45" customHeight="1">
      <c r="A178" s="914"/>
      <c r="B178" s="1560"/>
      <c r="C178" s="1560"/>
      <c r="D178" s="285"/>
      <c r="K178" s="1084"/>
      <c r="L178" s="1560"/>
      <c r="M178" s="1560"/>
      <c r="N178" s="1084"/>
      <c r="O178" s="1084"/>
      <c r="P178" s="1084"/>
      <c r="Q178" s="1084"/>
      <c r="R178" s="1560"/>
      <c r="S178" s="1084"/>
      <c r="T178" s="1084"/>
      <c r="U178" s="478"/>
      <c r="V178" s="1084"/>
      <c r="W178" s="1084"/>
      <c r="X178" s="1084"/>
      <c r="Y178" s="1084"/>
      <c r="Z178" s="1084"/>
      <c r="AA178" s="1556"/>
      <c r="AB178" s="500"/>
      <c r="AC178" s="500"/>
      <c r="AD178" s="500"/>
      <c r="AE178" s="500"/>
      <c r="AF178" s="1565">
        <v>11</v>
      </c>
    </row>
    <row r="179" spans="1:32" s="1565" customFormat="1" ht="11.45" customHeight="1">
      <c r="A179" s="914"/>
      <c r="B179" s="1560"/>
      <c r="C179" s="1560"/>
      <c r="D179" s="285"/>
      <c r="K179" s="1084"/>
      <c r="L179" s="1560"/>
      <c r="M179" s="1560"/>
      <c r="N179" s="1084"/>
      <c r="O179" s="1084"/>
      <c r="P179" s="1084"/>
      <c r="Q179" s="1084"/>
      <c r="R179" s="1560"/>
      <c r="S179" s="1084"/>
      <c r="T179" s="1084"/>
      <c r="U179" s="478"/>
      <c r="V179" s="1084"/>
      <c r="W179" s="1084"/>
      <c r="X179" s="1084"/>
      <c r="Y179" s="1084"/>
      <c r="Z179" s="1084"/>
      <c r="AA179" s="1556"/>
      <c r="AB179" s="500"/>
      <c r="AC179" s="500"/>
      <c r="AD179" s="500"/>
      <c r="AE179" s="500"/>
      <c r="AF179" s="1565">
        <v>11</v>
      </c>
    </row>
    <row r="180" spans="1:32" s="1565" customFormat="1" ht="11.45" customHeight="1">
      <c r="A180" s="914"/>
      <c r="B180" s="1560"/>
      <c r="C180" s="1560"/>
      <c r="D180" s="285"/>
      <c r="K180" s="1084"/>
      <c r="L180" s="1560"/>
      <c r="M180" s="1560"/>
      <c r="N180" s="1084"/>
      <c r="O180" s="1084"/>
      <c r="P180" s="1084"/>
      <c r="Q180" s="1084"/>
      <c r="R180" s="1560"/>
      <c r="S180" s="1084"/>
      <c r="T180" s="1084"/>
      <c r="U180" s="478"/>
      <c r="V180" s="1084"/>
      <c r="W180" s="1084"/>
      <c r="X180" s="1084"/>
      <c r="Y180" s="1084"/>
      <c r="Z180" s="1084"/>
      <c r="AA180" s="1556"/>
      <c r="AB180" s="500"/>
      <c r="AC180" s="500"/>
      <c r="AD180" s="500"/>
      <c r="AE180" s="500"/>
      <c r="AF180" s="1565">
        <v>11</v>
      </c>
    </row>
    <row r="181" spans="1:32" s="1565" customFormat="1" ht="11.45" customHeight="1">
      <c r="A181" s="914"/>
      <c r="B181" s="1560"/>
      <c r="C181" s="1560"/>
      <c r="D181" s="285"/>
      <c r="K181" s="1084"/>
      <c r="L181" s="1560"/>
      <c r="M181" s="1560"/>
      <c r="N181" s="1084"/>
      <c r="O181" s="1084"/>
      <c r="P181" s="1084"/>
      <c r="Q181" s="1084"/>
      <c r="R181" s="1560"/>
      <c r="S181" s="1084"/>
      <c r="T181" s="1084"/>
      <c r="U181" s="478"/>
      <c r="V181" s="1084"/>
      <c r="W181" s="1084"/>
      <c r="X181" s="1084"/>
      <c r="Y181" s="1084"/>
      <c r="Z181" s="1084"/>
      <c r="AA181" s="1556"/>
      <c r="AB181" s="500"/>
      <c r="AC181" s="500"/>
      <c r="AD181" s="500"/>
      <c r="AE181" s="500"/>
      <c r="AF181" s="1565">
        <v>11</v>
      </c>
    </row>
    <row r="182" spans="1:32" s="1565" customFormat="1" ht="11.45" customHeight="1">
      <c r="A182" s="914"/>
      <c r="B182" s="1560"/>
      <c r="C182" s="1560"/>
      <c r="D182" s="285"/>
      <c r="K182" s="1084"/>
      <c r="L182" s="1560"/>
      <c r="M182" s="1560"/>
      <c r="N182" s="1084"/>
      <c r="O182" s="1084"/>
      <c r="P182" s="1084"/>
      <c r="Q182" s="1084"/>
      <c r="R182" s="1560"/>
      <c r="S182" s="1084"/>
      <c r="T182" s="1084"/>
      <c r="U182" s="478"/>
      <c r="V182" s="1084"/>
      <c r="W182" s="1084"/>
      <c r="X182" s="1084"/>
      <c r="Y182" s="1084"/>
      <c r="Z182" s="1084"/>
      <c r="AA182" s="1556"/>
      <c r="AB182" s="500"/>
      <c r="AC182" s="500"/>
      <c r="AD182" s="500"/>
      <c r="AE182" s="500"/>
      <c r="AF182" s="1565">
        <v>11</v>
      </c>
    </row>
    <row r="183" spans="1:32" s="1565" customFormat="1" ht="11.45" customHeight="1">
      <c r="A183" s="914"/>
      <c r="B183" s="1560"/>
      <c r="C183" s="1560"/>
      <c r="D183" s="285"/>
      <c r="K183" s="1084"/>
      <c r="L183" s="1560"/>
      <c r="M183" s="1560"/>
      <c r="N183" s="1084"/>
      <c r="O183" s="1084"/>
      <c r="P183" s="1084"/>
      <c r="Q183" s="1084"/>
      <c r="R183" s="1560"/>
      <c r="S183" s="1084"/>
      <c r="T183" s="1084"/>
      <c r="U183" s="478"/>
      <c r="V183" s="1084"/>
      <c r="W183" s="1084"/>
      <c r="X183" s="1084"/>
      <c r="Y183" s="1084"/>
      <c r="Z183" s="1084"/>
      <c r="AA183" s="1556"/>
      <c r="AB183" s="500"/>
      <c r="AC183" s="500"/>
      <c r="AD183" s="500"/>
      <c r="AE183" s="500"/>
      <c r="AF183" s="1565">
        <v>11</v>
      </c>
    </row>
    <row r="184" spans="1:32" s="1565" customFormat="1" ht="11.45" customHeight="1">
      <c r="A184" s="914"/>
      <c r="B184" s="1560"/>
      <c r="C184" s="1560"/>
      <c r="D184" s="285"/>
      <c r="K184" s="1084"/>
      <c r="L184" s="1560"/>
      <c r="M184" s="1560"/>
      <c r="N184" s="1084"/>
      <c r="O184" s="1084"/>
      <c r="P184" s="1084"/>
      <c r="Q184" s="1084"/>
      <c r="R184" s="1560"/>
      <c r="S184" s="1084"/>
      <c r="T184" s="1084"/>
      <c r="U184" s="478"/>
      <c r="V184" s="1084"/>
      <c r="W184" s="1084"/>
      <c r="X184" s="1084"/>
      <c r="Y184" s="1084"/>
      <c r="Z184" s="1084"/>
      <c r="AA184" s="1556"/>
      <c r="AB184" s="500"/>
      <c r="AC184" s="500"/>
      <c r="AD184" s="500"/>
      <c r="AE184" s="500"/>
      <c r="AF184" s="1565">
        <v>11</v>
      </c>
    </row>
    <row r="185" spans="1:32" s="1565" customFormat="1" ht="11.45" customHeight="1">
      <c r="A185" s="914"/>
      <c r="B185" s="1560"/>
      <c r="C185" s="1560"/>
      <c r="D185" s="285"/>
      <c r="K185" s="1084"/>
      <c r="L185" s="1560"/>
      <c r="M185" s="1560"/>
      <c r="N185" s="1084"/>
      <c r="O185" s="1084"/>
      <c r="P185" s="1084"/>
      <c r="Q185" s="1084"/>
      <c r="R185" s="1560"/>
      <c r="S185" s="1084"/>
      <c r="T185" s="1084"/>
      <c r="U185" s="478"/>
      <c r="V185" s="1084"/>
      <c r="W185" s="1084"/>
      <c r="X185" s="1084"/>
      <c r="Y185" s="1084"/>
      <c r="Z185" s="1084"/>
      <c r="AA185" s="1556"/>
      <c r="AB185" s="500"/>
      <c r="AC185" s="500"/>
      <c r="AD185" s="500"/>
      <c r="AE185" s="500"/>
      <c r="AF185" s="1565">
        <v>11</v>
      </c>
    </row>
    <row r="186" spans="1:32" s="1565" customFormat="1" ht="11.45" customHeight="1">
      <c r="A186" s="914"/>
      <c r="B186" s="1560"/>
      <c r="C186" s="1560"/>
      <c r="D186" s="285"/>
      <c r="K186" s="1084"/>
      <c r="L186" s="1560"/>
      <c r="M186" s="1560"/>
      <c r="N186" s="1084"/>
      <c r="O186" s="1084"/>
      <c r="P186" s="1084"/>
      <c r="Q186" s="1084"/>
      <c r="R186" s="1560"/>
      <c r="S186" s="1084"/>
      <c r="T186" s="1084"/>
      <c r="U186" s="478"/>
      <c r="V186" s="1084"/>
      <c r="W186" s="1084"/>
      <c r="X186" s="1084"/>
      <c r="Y186" s="1084"/>
      <c r="Z186" s="1084"/>
      <c r="AA186" s="1556"/>
      <c r="AB186" s="500"/>
      <c r="AC186" s="500"/>
      <c r="AD186" s="500"/>
      <c r="AE186" s="500"/>
      <c r="AF186" s="1565">
        <v>11</v>
      </c>
    </row>
    <row r="187" spans="1:32" s="1565" customFormat="1" ht="11.45" customHeight="1">
      <c r="A187" s="914"/>
      <c r="B187" s="1560"/>
      <c r="C187" s="1560"/>
      <c r="D187" s="285"/>
      <c r="K187" s="1084"/>
      <c r="L187" s="1560"/>
      <c r="M187" s="1560"/>
      <c r="N187" s="1084"/>
      <c r="O187" s="1084"/>
      <c r="P187" s="1084"/>
      <c r="Q187" s="1084"/>
      <c r="R187" s="1560"/>
      <c r="S187" s="1084"/>
      <c r="T187" s="1084"/>
      <c r="U187" s="478"/>
      <c r="V187" s="1084"/>
      <c r="W187" s="1084"/>
      <c r="X187" s="1084"/>
      <c r="Y187" s="1084"/>
      <c r="Z187" s="1084"/>
      <c r="AA187" s="1556"/>
      <c r="AB187" s="500"/>
      <c r="AC187" s="500"/>
      <c r="AD187" s="500"/>
      <c r="AE187" s="500"/>
      <c r="AF187" s="1565">
        <v>11</v>
      </c>
    </row>
    <row r="188" spans="1:32" s="1565" customFormat="1" ht="11.45" customHeight="1">
      <c r="A188" s="914"/>
      <c r="B188" s="1560"/>
      <c r="C188" s="1560"/>
      <c r="D188" s="285"/>
      <c r="K188" s="1084"/>
      <c r="L188" s="1560"/>
      <c r="M188" s="1560"/>
      <c r="N188" s="1084"/>
      <c r="O188" s="1084"/>
      <c r="P188" s="1084"/>
      <c r="Q188" s="1084"/>
      <c r="R188" s="1560"/>
      <c r="S188" s="1084"/>
      <c r="T188" s="1084"/>
      <c r="U188" s="478"/>
      <c r="V188" s="1084"/>
      <c r="W188" s="1084"/>
      <c r="X188" s="1084"/>
      <c r="Y188" s="1084"/>
      <c r="Z188" s="1084"/>
      <c r="AA188" s="1556"/>
      <c r="AB188" s="500"/>
      <c r="AC188" s="500"/>
      <c r="AD188" s="500"/>
      <c r="AE188" s="500"/>
      <c r="AF188" s="1565">
        <v>11</v>
      </c>
    </row>
    <row r="189" spans="1:32" s="1565" customFormat="1" ht="11.45" customHeight="1">
      <c r="A189" s="914"/>
      <c r="B189" s="1560"/>
      <c r="C189" s="1560"/>
      <c r="D189" s="285"/>
      <c r="K189" s="1084"/>
      <c r="L189" s="1560"/>
      <c r="M189" s="1560"/>
      <c r="N189" s="1084"/>
      <c r="O189" s="1084"/>
      <c r="P189" s="1084"/>
      <c r="Q189" s="1084"/>
      <c r="R189" s="1560"/>
      <c r="S189" s="1084"/>
      <c r="T189" s="1084"/>
      <c r="U189" s="478"/>
      <c r="V189" s="1084"/>
      <c r="W189" s="1084"/>
      <c r="X189" s="1084"/>
      <c r="Y189" s="1084"/>
      <c r="Z189" s="1084"/>
      <c r="AA189" s="1556"/>
      <c r="AB189" s="500"/>
      <c r="AC189" s="500"/>
      <c r="AD189" s="500"/>
      <c r="AE189" s="500"/>
      <c r="AF189" s="1565">
        <v>11</v>
      </c>
    </row>
    <row r="190" spans="1:32" s="1565" customFormat="1" ht="11.45" customHeight="1">
      <c r="A190" s="914"/>
      <c r="B190" s="1560"/>
      <c r="C190" s="1560"/>
      <c r="D190" s="285"/>
      <c r="K190" s="1084"/>
      <c r="L190" s="1560"/>
      <c r="M190" s="1560"/>
      <c r="N190" s="1084"/>
      <c r="O190" s="1084"/>
      <c r="P190" s="1084"/>
      <c r="Q190" s="1084"/>
      <c r="R190" s="1560"/>
      <c r="S190" s="1084"/>
      <c r="T190" s="1084"/>
      <c r="U190" s="478"/>
      <c r="V190" s="1084"/>
      <c r="W190" s="1084"/>
      <c r="X190" s="1084"/>
      <c r="Y190" s="1084"/>
      <c r="Z190" s="1084"/>
      <c r="AA190" s="1556"/>
      <c r="AB190" s="500"/>
      <c r="AC190" s="500"/>
      <c r="AD190" s="500"/>
      <c r="AE190" s="500"/>
      <c r="AF190" s="1565">
        <v>11</v>
      </c>
    </row>
    <row r="191" spans="1:32" s="1565" customFormat="1" ht="11.45" customHeight="1">
      <c r="A191" s="914"/>
      <c r="B191" s="1560"/>
      <c r="C191" s="1560"/>
      <c r="D191" s="285"/>
      <c r="K191" s="1084"/>
      <c r="L191" s="1560"/>
      <c r="M191" s="1560"/>
      <c r="N191" s="1084"/>
      <c r="O191" s="1084"/>
      <c r="P191" s="1084"/>
      <c r="Q191" s="1084"/>
      <c r="R191" s="1560"/>
      <c r="S191" s="1084"/>
      <c r="T191" s="1084"/>
      <c r="U191" s="478"/>
      <c r="V191" s="1084"/>
      <c r="W191" s="1084"/>
      <c r="X191" s="1084"/>
      <c r="Y191" s="1084"/>
      <c r="Z191" s="1084"/>
      <c r="AA191" s="1556"/>
      <c r="AB191" s="500"/>
      <c r="AC191" s="500"/>
      <c r="AD191" s="500"/>
      <c r="AE191" s="500"/>
      <c r="AF191" s="1565">
        <v>11</v>
      </c>
    </row>
    <row r="192" spans="1:32" s="1565" customFormat="1" ht="11.45" customHeight="1">
      <c r="A192" s="914"/>
      <c r="B192" s="1560"/>
      <c r="C192" s="1560"/>
      <c r="D192" s="285"/>
      <c r="K192" s="1084"/>
      <c r="L192" s="1560"/>
      <c r="M192" s="1560"/>
      <c r="N192" s="1084"/>
      <c r="O192" s="1084"/>
      <c r="P192" s="1084"/>
      <c r="Q192" s="1084"/>
      <c r="R192" s="1560"/>
      <c r="S192" s="1084"/>
      <c r="T192" s="1084"/>
      <c r="U192" s="478"/>
      <c r="V192" s="1084"/>
      <c r="W192" s="1084"/>
      <c r="X192" s="1084"/>
      <c r="Y192" s="1084"/>
      <c r="Z192" s="1084"/>
      <c r="AA192" s="1556"/>
      <c r="AB192" s="500"/>
      <c r="AC192" s="500"/>
      <c r="AD192" s="500"/>
      <c r="AE192" s="500"/>
      <c r="AF192" s="1565">
        <v>11</v>
      </c>
    </row>
    <row r="193" spans="1:32" s="1565" customFormat="1" ht="11.45" customHeight="1">
      <c r="A193" s="914"/>
      <c r="B193" s="1560"/>
      <c r="C193" s="1560"/>
      <c r="D193" s="285"/>
      <c r="K193" s="1084"/>
      <c r="L193" s="1560"/>
      <c r="M193" s="1560"/>
      <c r="N193" s="1084"/>
      <c r="O193" s="1084"/>
      <c r="P193" s="1084"/>
      <c r="Q193" s="1084"/>
      <c r="R193" s="1560"/>
      <c r="S193" s="1084"/>
      <c r="T193" s="1084"/>
      <c r="U193" s="478"/>
      <c r="V193" s="1084"/>
      <c r="W193" s="1084"/>
      <c r="X193" s="1084"/>
      <c r="Y193" s="1084"/>
      <c r="Z193" s="1084"/>
      <c r="AA193" s="1556"/>
      <c r="AB193" s="500"/>
      <c r="AC193" s="500"/>
      <c r="AD193" s="500"/>
      <c r="AE193" s="500"/>
      <c r="AF193" s="1565">
        <v>11</v>
      </c>
    </row>
    <row r="194" spans="1:32" s="1565" customFormat="1" ht="11.45" customHeight="1">
      <c r="A194" s="914"/>
      <c r="B194" s="1560"/>
      <c r="C194" s="1560"/>
      <c r="D194" s="285"/>
      <c r="K194" s="1084"/>
      <c r="L194" s="1560"/>
      <c r="M194" s="1560"/>
      <c r="N194" s="1084"/>
      <c r="O194" s="1084"/>
      <c r="P194" s="1084"/>
      <c r="Q194" s="1084"/>
      <c r="R194" s="1560"/>
      <c r="S194" s="1084"/>
      <c r="T194" s="1084"/>
      <c r="U194" s="478"/>
      <c r="V194" s="1084"/>
      <c r="W194" s="1084"/>
      <c r="X194" s="1084"/>
      <c r="Y194" s="1084"/>
      <c r="Z194" s="1084"/>
      <c r="AA194" s="1556"/>
      <c r="AB194" s="500"/>
      <c r="AC194" s="500"/>
      <c r="AD194" s="500"/>
      <c r="AE194" s="500"/>
      <c r="AF194" s="1565">
        <v>11</v>
      </c>
    </row>
    <row r="195" spans="1:32" s="1565" customFormat="1" ht="11.45" customHeight="1">
      <c r="A195" s="914"/>
      <c r="B195" s="1560"/>
      <c r="C195" s="1560"/>
      <c r="D195" s="285"/>
      <c r="K195" s="1084"/>
      <c r="L195" s="1560"/>
      <c r="M195" s="1560"/>
      <c r="N195" s="1084"/>
      <c r="O195" s="1084"/>
      <c r="P195" s="1084"/>
      <c r="Q195" s="1084"/>
      <c r="R195" s="1560"/>
      <c r="S195" s="1084"/>
      <c r="T195" s="1084"/>
      <c r="U195" s="478"/>
      <c r="V195" s="1084"/>
      <c r="W195" s="1084"/>
      <c r="X195" s="1084"/>
      <c r="Y195" s="1084"/>
      <c r="Z195" s="1084"/>
      <c r="AA195" s="1556"/>
      <c r="AB195" s="500"/>
      <c r="AC195" s="500"/>
      <c r="AD195" s="500"/>
      <c r="AE195" s="500"/>
      <c r="AF195" s="1565">
        <v>11</v>
      </c>
    </row>
    <row r="196" spans="1:32" s="1565" customFormat="1" ht="11.45" customHeight="1">
      <c r="A196" s="914"/>
      <c r="B196" s="1560"/>
      <c r="C196" s="1560"/>
      <c r="D196" s="285"/>
      <c r="K196" s="1084"/>
      <c r="L196" s="1560"/>
      <c r="M196" s="1560"/>
      <c r="N196" s="1084"/>
      <c r="O196" s="1084"/>
      <c r="P196" s="1084"/>
      <c r="Q196" s="1084"/>
      <c r="R196" s="1560"/>
      <c r="S196" s="1084"/>
      <c r="T196" s="1084"/>
      <c r="U196" s="478"/>
      <c r="V196" s="1084"/>
      <c r="W196" s="1084"/>
      <c r="X196" s="1084"/>
      <c r="Y196" s="1084"/>
      <c r="Z196" s="1084"/>
      <c r="AA196" s="1556"/>
      <c r="AB196" s="500"/>
      <c r="AC196" s="500"/>
      <c r="AD196" s="500"/>
      <c r="AE196" s="500"/>
      <c r="AF196" s="1565">
        <v>11</v>
      </c>
    </row>
    <row r="197" spans="1:32" s="1565" customFormat="1" ht="11.45" customHeight="1">
      <c r="A197" s="914"/>
      <c r="B197" s="1560"/>
      <c r="C197" s="1560"/>
      <c r="D197" s="285"/>
      <c r="K197" s="1084"/>
      <c r="L197" s="1560"/>
      <c r="M197" s="1560"/>
      <c r="N197" s="1084"/>
      <c r="O197" s="1084"/>
      <c r="P197" s="1084"/>
      <c r="Q197" s="1084"/>
      <c r="R197" s="1560"/>
      <c r="S197" s="1084"/>
      <c r="T197" s="1084"/>
      <c r="U197" s="478"/>
      <c r="V197" s="1084"/>
      <c r="W197" s="1084"/>
      <c r="X197" s="1084"/>
      <c r="Y197" s="1084"/>
      <c r="Z197" s="1084"/>
      <c r="AA197" s="1556"/>
      <c r="AB197" s="500"/>
      <c r="AC197" s="500"/>
      <c r="AD197" s="500"/>
      <c r="AE197" s="500"/>
      <c r="AF197" s="1565">
        <v>11</v>
      </c>
    </row>
    <row r="198" spans="1:32" s="1565" customFormat="1" ht="11.45" customHeight="1">
      <c r="A198" s="914"/>
      <c r="B198" s="1560"/>
      <c r="C198" s="1560"/>
      <c r="D198" s="285"/>
      <c r="K198" s="1084"/>
      <c r="L198" s="1560"/>
      <c r="M198" s="1560"/>
      <c r="N198" s="1084"/>
      <c r="O198" s="1084"/>
      <c r="P198" s="1084"/>
      <c r="Q198" s="1084"/>
      <c r="R198" s="1560"/>
      <c r="S198" s="1084"/>
      <c r="T198" s="1084"/>
      <c r="U198" s="478"/>
      <c r="V198" s="1084"/>
      <c r="W198" s="1084"/>
      <c r="X198" s="1084"/>
      <c r="Y198" s="1084"/>
      <c r="Z198" s="1084"/>
      <c r="AA198" s="1556"/>
      <c r="AB198" s="500"/>
      <c r="AC198" s="500"/>
      <c r="AD198" s="500"/>
      <c r="AE198" s="500"/>
      <c r="AF198" s="1565">
        <v>11</v>
      </c>
    </row>
    <row r="199" spans="1:32" s="1565" customFormat="1" ht="11.45" customHeight="1">
      <c r="A199" s="914"/>
      <c r="B199" s="1560"/>
      <c r="C199" s="1560"/>
      <c r="D199" s="285"/>
      <c r="K199" s="1084"/>
      <c r="L199" s="1560"/>
      <c r="M199" s="1560"/>
      <c r="N199" s="1084"/>
      <c r="O199" s="1084"/>
      <c r="P199" s="1084"/>
      <c r="Q199" s="1084"/>
      <c r="R199" s="1560"/>
      <c r="S199" s="1084"/>
      <c r="T199" s="1084"/>
      <c r="U199" s="478"/>
      <c r="V199" s="1084"/>
      <c r="W199" s="1084"/>
      <c r="X199" s="1084"/>
      <c r="Y199" s="1084"/>
      <c r="Z199" s="1084"/>
      <c r="AA199" s="1556"/>
      <c r="AB199" s="500"/>
      <c r="AC199" s="500"/>
      <c r="AD199" s="500"/>
      <c r="AE199" s="500"/>
      <c r="AF199" s="1565">
        <v>11</v>
      </c>
    </row>
    <row r="200" spans="1:32" s="1565" customFormat="1" ht="11.45" customHeight="1">
      <c r="A200" s="914"/>
      <c r="B200" s="1560"/>
      <c r="C200" s="1560"/>
      <c r="D200" s="285"/>
      <c r="K200" s="1084"/>
      <c r="L200" s="1560"/>
      <c r="M200" s="1560"/>
      <c r="N200" s="1084"/>
      <c r="O200" s="1084"/>
      <c r="P200" s="1084"/>
      <c r="Q200" s="1084"/>
      <c r="R200" s="1560"/>
      <c r="S200" s="1084"/>
      <c r="T200" s="1084"/>
      <c r="U200" s="478"/>
      <c r="V200" s="1084"/>
      <c r="W200" s="1084"/>
      <c r="X200" s="1084"/>
      <c r="Y200" s="1084"/>
      <c r="Z200" s="1084"/>
      <c r="AA200" s="1556"/>
      <c r="AB200" s="500"/>
      <c r="AC200" s="500"/>
      <c r="AD200" s="500"/>
      <c r="AE200" s="500"/>
      <c r="AF200" s="1565">
        <v>11</v>
      </c>
    </row>
    <row r="201" spans="1:32" s="1565" customFormat="1" ht="11.45" customHeight="1">
      <c r="A201" s="914"/>
      <c r="B201" s="1560"/>
      <c r="C201" s="1560"/>
      <c r="D201" s="285"/>
      <c r="K201" s="1084"/>
      <c r="L201" s="1560"/>
      <c r="M201" s="1560"/>
      <c r="N201" s="1084"/>
      <c r="O201" s="1084"/>
      <c r="P201" s="1084"/>
      <c r="Q201" s="1084"/>
      <c r="R201" s="1560"/>
      <c r="S201" s="1084"/>
      <c r="T201" s="1084"/>
      <c r="U201" s="478"/>
      <c r="V201" s="1084"/>
      <c r="W201" s="1084"/>
      <c r="X201" s="1084"/>
      <c r="Y201" s="1084"/>
      <c r="Z201" s="1084"/>
      <c r="AA201" s="1556"/>
      <c r="AB201" s="500"/>
      <c r="AC201" s="500"/>
      <c r="AD201" s="500"/>
      <c r="AE201" s="500"/>
      <c r="AF201" s="1565">
        <v>11</v>
      </c>
    </row>
    <row r="202" spans="1:32" s="1565" customFormat="1" ht="11.45" customHeight="1">
      <c r="A202" s="914"/>
      <c r="B202" s="1560"/>
      <c r="C202" s="1560"/>
      <c r="D202" s="285"/>
      <c r="K202" s="1084"/>
      <c r="L202" s="1560"/>
      <c r="M202" s="1560"/>
      <c r="N202" s="1084"/>
      <c r="O202" s="1084"/>
      <c r="P202" s="1084"/>
      <c r="Q202" s="1084"/>
      <c r="R202" s="1560"/>
      <c r="S202" s="1084"/>
      <c r="T202" s="1084"/>
      <c r="U202" s="478"/>
      <c r="V202" s="1084"/>
      <c r="W202" s="1084"/>
      <c r="X202" s="1084"/>
      <c r="Y202" s="1084"/>
      <c r="Z202" s="1084"/>
      <c r="AA202" s="1556"/>
      <c r="AB202" s="500"/>
      <c r="AC202" s="500"/>
      <c r="AD202" s="500"/>
      <c r="AE202" s="500"/>
      <c r="AF202" s="1565">
        <v>11</v>
      </c>
    </row>
    <row r="203" spans="1:32" s="1565" customFormat="1" ht="11.45" customHeight="1">
      <c r="A203" s="914"/>
      <c r="B203" s="1560"/>
      <c r="C203" s="1560"/>
      <c r="D203" s="285"/>
      <c r="K203" s="1084"/>
      <c r="L203" s="1560"/>
      <c r="M203" s="1560"/>
      <c r="N203" s="1084"/>
      <c r="O203" s="1084"/>
      <c r="P203" s="1084"/>
      <c r="Q203" s="1084"/>
      <c r="R203" s="1560"/>
      <c r="S203" s="1084"/>
      <c r="T203" s="1084"/>
      <c r="U203" s="478"/>
      <c r="V203" s="1084"/>
      <c r="W203" s="1084"/>
      <c r="X203" s="1084"/>
      <c r="Y203" s="1084"/>
      <c r="Z203" s="1084"/>
      <c r="AA203" s="1556"/>
      <c r="AB203" s="500"/>
      <c r="AC203" s="500"/>
      <c r="AD203" s="500"/>
      <c r="AE203" s="500"/>
      <c r="AF203" s="1565">
        <v>11</v>
      </c>
    </row>
    <row r="204" spans="1:32" s="1565" customFormat="1" ht="11.45" customHeight="1">
      <c r="A204" s="914"/>
      <c r="B204" s="1560"/>
      <c r="C204" s="1560"/>
      <c r="D204" s="285"/>
      <c r="K204" s="1084"/>
      <c r="L204" s="1560"/>
      <c r="M204" s="1560"/>
      <c r="N204" s="1084"/>
      <c r="O204" s="1084"/>
      <c r="P204" s="1084"/>
      <c r="Q204" s="1084"/>
      <c r="R204" s="1560"/>
      <c r="S204" s="1084"/>
      <c r="T204" s="1084"/>
      <c r="U204" s="478"/>
      <c r="V204" s="1084"/>
      <c r="W204" s="1084"/>
      <c r="X204" s="1084"/>
      <c r="Y204" s="1084"/>
      <c r="Z204" s="1084"/>
      <c r="AA204" s="1556"/>
      <c r="AB204" s="500"/>
      <c r="AC204" s="500"/>
      <c r="AD204" s="500"/>
      <c r="AE204" s="500"/>
      <c r="AF204" s="1565">
        <v>11</v>
      </c>
    </row>
    <row r="205" spans="1:32" s="1565" customFormat="1" ht="11.45" customHeight="1">
      <c r="A205" s="914"/>
      <c r="B205" s="1560"/>
      <c r="C205" s="1560"/>
      <c r="D205" s="285"/>
      <c r="K205" s="1084"/>
      <c r="L205" s="1560"/>
      <c r="M205" s="1560"/>
      <c r="N205" s="1084"/>
      <c r="O205" s="1084"/>
      <c r="P205" s="1084"/>
      <c r="Q205" s="1084"/>
      <c r="R205" s="1560"/>
      <c r="S205" s="1084"/>
      <c r="T205" s="1084"/>
      <c r="U205" s="478"/>
      <c r="V205" s="1084"/>
      <c r="W205" s="1084"/>
      <c r="X205" s="1084"/>
      <c r="Y205" s="1084"/>
      <c r="Z205" s="1084"/>
      <c r="AA205" s="1556"/>
      <c r="AB205" s="500"/>
      <c r="AC205" s="500"/>
      <c r="AD205" s="500"/>
      <c r="AE205" s="500"/>
      <c r="AF205" s="1565">
        <v>11</v>
      </c>
    </row>
    <row r="206" spans="1:32" s="1565" customFormat="1" ht="11.45" customHeight="1">
      <c r="A206" s="914"/>
      <c r="B206" s="1560"/>
      <c r="C206" s="1560"/>
      <c r="D206" s="285"/>
      <c r="K206" s="1084"/>
      <c r="L206" s="1560"/>
      <c r="M206" s="1560"/>
      <c r="N206" s="1084"/>
      <c r="O206" s="1084"/>
      <c r="P206" s="1084"/>
      <c r="Q206" s="1084"/>
      <c r="R206" s="1560"/>
      <c r="S206" s="1084"/>
      <c r="T206" s="1084"/>
      <c r="U206" s="478"/>
      <c r="V206" s="1084"/>
      <c r="W206" s="1084"/>
      <c r="X206" s="1084"/>
      <c r="Y206" s="1084"/>
      <c r="Z206" s="1084"/>
      <c r="AA206" s="1556"/>
      <c r="AB206" s="500"/>
      <c r="AC206" s="500"/>
      <c r="AD206" s="500"/>
      <c r="AE206" s="500"/>
      <c r="AF206" s="1565">
        <v>11</v>
      </c>
    </row>
    <row r="207" spans="1:32" s="1565" customFormat="1" ht="11.45" customHeight="1">
      <c r="A207" s="914"/>
      <c r="B207" s="1560"/>
      <c r="C207" s="1560"/>
      <c r="D207" s="285"/>
      <c r="K207" s="1084"/>
      <c r="L207" s="1560"/>
      <c r="M207" s="1560"/>
      <c r="N207" s="1084"/>
      <c r="O207" s="1084"/>
      <c r="P207" s="1084"/>
      <c r="Q207" s="1084"/>
      <c r="R207" s="1560"/>
      <c r="S207" s="1084"/>
      <c r="T207" s="1084"/>
      <c r="U207" s="478"/>
      <c r="V207" s="1084"/>
      <c r="W207" s="1084"/>
      <c r="X207" s="1084"/>
      <c r="Y207" s="1084"/>
      <c r="Z207" s="1084"/>
      <c r="AA207" s="1556"/>
      <c r="AB207" s="500"/>
      <c r="AC207" s="500"/>
      <c r="AD207" s="500"/>
      <c r="AE207" s="500"/>
      <c r="AF207" s="1565">
        <v>11</v>
      </c>
    </row>
    <row r="208" spans="1:32" s="1565" customFormat="1" ht="11.45" customHeight="1">
      <c r="A208" s="914"/>
      <c r="B208" s="1560"/>
      <c r="C208" s="1560"/>
      <c r="D208" s="285"/>
      <c r="K208" s="1084"/>
      <c r="L208" s="1560"/>
      <c r="M208" s="1560"/>
      <c r="N208" s="1084"/>
      <c r="O208" s="1084"/>
      <c r="P208" s="1084"/>
      <c r="Q208" s="1084"/>
      <c r="R208" s="1560"/>
      <c r="S208" s="1084"/>
      <c r="T208" s="1084"/>
      <c r="U208" s="478"/>
      <c r="V208" s="1084"/>
      <c r="W208" s="1084"/>
      <c r="X208" s="1084"/>
      <c r="Y208" s="1084"/>
      <c r="Z208" s="1084"/>
      <c r="AA208" s="1556"/>
      <c r="AB208" s="500"/>
      <c r="AC208" s="500"/>
      <c r="AD208" s="500"/>
      <c r="AE208" s="500"/>
      <c r="AF208" s="1565">
        <v>11</v>
      </c>
    </row>
    <row r="209" spans="1:32" s="1565" customFormat="1" ht="11.45" customHeight="1">
      <c r="A209" s="914"/>
      <c r="B209" s="1560"/>
      <c r="C209" s="1560"/>
      <c r="D209" s="285"/>
      <c r="K209" s="1084"/>
      <c r="L209" s="1560"/>
      <c r="M209" s="1560"/>
      <c r="N209" s="1084"/>
      <c r="O209" s="1084"/>
      <c r="P209" s="1084"/>
      <c r="Q209" s="1084"/>
      <c r="R209" s="1560"/>
      <c r="S209" s="1084"/>
      <c r="T209" s="1084"/>
      <c r="U209" s="478"/>
      <c r="V209" s="1084"/>
      <c r="W209" s="1084"/>
      <c r="X209" s="1084"/>
      <c r="Y209" s="1084"/>
      <c r="Z209" s="1084"/>
      <c r="AA209" s="1556"/>
      <c r="AB209" s="500"/>
      <c r="AC209" s="500"/>
      <c r="AD209" s="500"/>
      <c r="AE209" s="500"/>
      <c r="AF209" s="1565">
        <v>11</v>
      </c>
    </row>
    <row r="210" spans="1:32" s="1565" customFormat="1" ht="11.45" customHeight="1">
      <c r="A210" s="914"/>
      <c r="B210" s="1560"/>
      <c r="C210" s="1560"/>
      <c r="D210" s="285"/>
      <c r="K210" s="1084"/>
      <c r="L210" s="1560"/>
      <c r="M210" s="1560"/>
      <c r="N210" s="1084"/>
      <c r="O210" s="1084"/>
      <c r="P210" s="1084"/>
      <c r="Q210" s="1084"/>
      <c r="R210" s="1560"/>
      <c r="S210" s="1084"/>
      <c r="T210" s="1084"/>
      <c r="U210" s="478"/>
      <c r="V210" s="1084"/>
      <c r="W210" s="1084"/>
      <c r="X210" s="1084"/>
      <c r="Y210" s="1084"/>
      <c r="Z210" s="1084"/>
      <c r="AA210" s="1556"/>
      <c r="AB210" s="500"/>
      <c r="AC210" s="500"/>
      <c r="AD210" s="500"/>
      <c r="AE210" s="500"/>
      <c r="AF210" s="1565">
        <v>11</v>
      </c>
    </row>
    <row r="211" spans="1:32" s="1565" customFormat="1" ht="11.45" customHeight="1">
      <c r="A211" s="914"/>
      <c r="B211" s="1560"/>
      <c r="C211" s="1560"/>
      <c r="D211" s="285"/>
      <c r="K211" s="1084"/>
      <c r="L211" s="1560"/>
      <c r="M211" s="1560"/>
      <c r="N211" s="1084"/>
      <c r="O211" s="1084"/>
      <c r="P211" s="1084"/>
      <c r="Q211" s="1084"/>
      <c r="R211" s="1560"/>
      <c r="S211" s="1084"/>
      <c r="T211" s="1084"/>
      <c r="U211" s="478"/>
      <c r="V211" s="1084"/>
      <c r="W211" s="1084"/>
      <c r="X211" s="1084"/>
      <c r="Y211" s="1084"/>
      <c r="Z211" s="1084"/>
      <c r="AA211" s="1556"/>
      <c r="AB211" s="500"/>
      <c r="AC211" s="500"/>
      <c r="AD211" s="500"/>
      <c r="AE211" s="500"/>
      <c r="AF211" s="1565">
        <v>11</v>
      </c>
    </row>
    <row r="212" spans="1:32" s="1565" customFormat="1" ht="11.45" customHeight="1">
      <c r="A212" s="914"/>
      <c r="B212" s="1560"/>
      <c r="C212" s="1560"/>
      <c r="D212" s="285"/>
      <c r="K212" s="1084"/>
      <c r="L212" s="1560"/>
      <c r="M212" s="1560"/>
      <c r="N212" s="1084"/>
      <c r="O212" s="1084"/>
      <c r="P212" s="1084"/>
      <c r="Q212" s="1084"/>
      <c r="R212" s="1560"/>
      <c r="S212" s="1084"/>
      <c r="T212" s="1084"/>
      <c r="U212" s="478"/>
      <c r="V212" s="1084"/>
      <c r="W212" s="1084"/>
      <c r="X212" s="1084"/>
      <c r="Y212" s="1084"/>
      <c r="Z212" s="1084"/>
      <c r="AA212" s="1556"/>
      <c r="AB212" s="500"/>
      <c r="AC212" s="500"/>
      <c r="AD212" s="500"/>
      <c r="AE212" s="500"/>
      <c r="AF212" s="1565">
        <v>11</v>
      </c>
    </row>
    <row r="213" spans="1:32" s="1565" customFormat="1" ht="11.45" customHeight="1">
      <c r="A213" s="914"/>
      <c r="B213" s="1560"/>
      <c r="C213" s="1560"/>
      <c r="D213" s="285"/>
      <c r="K213" s="1084"/>
      <c r="L213" s="1560"/>
      <c r="M213" s="1560"/>
      <c r="N213" s="1084"/>
      <c r="O213" s="1084"/>
      <c r="P213" s="1084"/>
      <c r="Q213" s="1084"/>
      <c r="R213" s="1560"/>
      <c r="S213" s="1084"/>
      <c r="T213" s="1084"/>
      <c r="U213" s="478"/>
      <c r="V213" s="1084"/>
      <c r="W213" s="1084"/>
      <c r="X213" s="1084"/>
      <c r="Y213" s="1084"/>
      <c r="Z213" s="1084"/>
      <c r="AA213" s="1556"/>
      <c r="AB213" s="500"/>
      <c r="AC213" s="500"/>
      <c r="AD213" s="500"/>
      <c r="AE213" s="500"/>
      <c r="AF213" s="1565">
        <v>11</v>
      </c>
    </row>
    <row r="214" spans="1:32" s="1565" customFormat="1" ht="11.45" customHeight="1">
      <c r="A214" s="914"/>
      <c r="B214" s="1560"/>
      <c r="C214" s="1560"/>
      <c r="D214" s="285"/>
      <c r="K214" s="1084"/>
      <c r="L214" s="1560"/>
      <c r="M214" s="1560"/>
      <c r="N214" s="1084"/>
      <c r="O214" s="1084"/>
      <c r="P214" s="1084"/>
      <c r="Q214" s="1084"/>
      <c r="R214" s="1560"/>
      <c r="S214" s="1084"/>
      <c r="T214" s="1084"/>
      <c r="U214" s="478"/>
      <c r="V214" s="1084"/>
      <c r="W214" s="1084"/>
      <c r="X214" s="1084"/>
      <c r="Y214" s="1084"/>
      <c r="Z214" s="1084"/>
      <c r="AA214" s="1556"/>
      <c r="AB214" s="500"/>
      <c r="AC214" s="500"/>
      <c r="AD214" s="500"/>
      <c r="AE214" s="500"/>
      <c r="AF214" s="1565">
        <v>11</v>
      </c>
    </row>
    <row r="215" spans="1:32" s="1565" customFormat="1" ht="11.45" customHeight="1">
      <c r="A215" s="914"/>
      <c r="B215" s="1560"/>
      <c r="C215" s="1560"/>
      <c r="D215" s="285"/>
      <c r="K215" s="1084"/>
      <c r="L215" s="1560"/>
      <c r="M215" s="1560"/>
      <c r="N215" s="1084"/>
      <c r="O215" s="1084"/>
      <c r="P215" s="1084"/>
      <c r="Q215" s="1084"/>
      <c r="R215" s="1560"/>
      <c r="S215" s="1084"/>
      <c r="T215" s="1084"/>
      <c r="U215" s="478"/>
      <c r="V215" s="1084"/>
      <c r="W215" s="1084"/>
      <c r="X215" s="1084"/>
      <c r="Y215" s="1084"/>
      <c r="Z215" s="1084"/>
      <c r="AA215" s="1556"/>
      <c r="AB215" s="500"/>
      <c r="AC215" s="500"/>
      <c r="AD215" s="500"/>
      <c r="AE215" s="500"/>
      <c r="AF215" s="1565">
        <v>11</v>
      </c>
    </row>
    <row r="216" spans="1:32" s="1565" customFormat="1" ht="11.45" customHeight="1">
      <c r="A216" s="914"/>
      <c r="B216" s="1560"/>
      <c r="C216" s="1560"/>
      <c r="D216" s="285"/>
      <c r="K216" s="1084"/>
      <c r="L216" s="1560"/>
      <c r="M216" s="1560"/>
      <c r="N216" s="1084"/>
      <c r="O216" s="1084"/>
      <c r="P216" s="1084"/>
      <c r="Q216" s="1084"/>
      <c r="R216" s="1560"/>
      <c r="S216" s="1084"/>
      <c r="T216" s="1084"/>
      <c r="U216" s="478"/>
      <c r="V216" s="1084"/>
      <c r="W216" s="1084"/>
      <c r="X216" s="1084"/>
      <c r="Y216" s="1084"/>
      <c r="Z216" s="1084"/>
      <c r="AA216" s="1556"/>
      <c r="AB216" s="500"/>
      <c r="AC216" s="500"/>
      <c r="AD216" s="500"/>
      <c r="AE216" s="500"/>
      <c r="AF216" s="1565">
        <v>11</v>
      </c>
    </row>
    <row r="217" spans="1:32" s="1565" customFormat="1" ht="11.45" customHeight="1">
      <c r="A217" s="914"/>
      <c r="B217" s="1560"/>
      <c r="C217" s="1560"/>
      <c r="D217" s="285"/>
      <c r="K217" s="1084"/>
      <c r="L217" s="1560"/>
      <c r="M217" s="1560"/>
      <c r="N217" s="1084"/>
      <c r="O217" s="1084"/>
      <c r="P217" s="1084"/>
      <c r="Q217" s="1084"/>
      <c r="R217" s="1560"/>
      <c r="S217" s="1084"/>
      <c r="T217" s="1084"/>
      <c r="U217" s="478"/>
      <c r="V217" s="1084"/>
      <c r="W217" s="1084"/>
      <c r="X217" s="1084"/>
      <c r="Y217" s="1084"/>
      <c r="Z217" s="1084"/>
      <c r="AA217" s="1556"/>
      <c r="AB217" s="500"/>
      <c r="AC217" s="500"/>
      <c r="AD217" s="500"/>
      <c r="AE217" s="500"/>
      <c r="AF217" s="1565">
        <v>11</v>
      </c>
    </row>
    <row r="218" spans="1:32" s="1565" customFormat="1" ht="11.45" customHeight="1">
      <c r="A218" s="914"/>
      <c r="B218" s="1560"/>
      <c r="C218" s="1560"/>
      <c r="D218" s="285"/>
      <c r="K218" s="1084"/>
      <c r="L218" s="1560"/>
      <c r="M218" s="1560"/>
      <c r="N218" s="1084"/>
      <c r="O218" s="1084"/>
      <c r="P218" s="1084"/>
      <c r="Q218" s="1084"/>
      <c r="R218" s="1560"/>
      <c r="S218" s="1084"/>
      <c r="T218" s="1084"/>
      <c r="U218" s="478"/>
      <c r="V218" s="1084"/>
      <c r="W218" s="1084"/>
      <c r="X218" s="1084"/>
      <c r="Y218" s="1084"/>
      <c r="Z218" s="1084"/>
      <c r="AA218" s="1556"/>
      <c r="AB218" s="500"/>
      <c r="AC218" s="500"/>
      <c r="AD218" s="500"/>
      <c r="AE218" s="500"/>
      <c r="AF218" s="1565">
        <v>11</v>
      </c>
    </row>
    <row r="219" spans="1:32" s="1565" customFormat="1" ht="11.45" customHeight="1">
      <c r="A219" s="914"/>
      <c r="B219" s="1560"/>
      <c r="C219" s="1560"/>
      <c r="D219" s="285"/>
      <c r="K219" s="1084"/>
      <c r="L219" s="1560"/>
      <c r="M219" s="1560"/>
      <c r="N219" s="1084"/>
      <c r="O219" s="1084"/>
      <c r="P219" s="1084"/>
      <c r="Q219" s="1084"/>
      <c r="R219" s="1560"/>
      <c r="S219" s="1084"/>
      <c r="T219" s="1084"/>
      <c r="U219" s="478"/>
      <c r="V219" s="1084"/>
      <c r="W219" s="1084"/>
      <c r="X219" s="1084"/>
      <c r="Y219" s="1084"/>
      <c r="Z219" s="1084"/>
      <c r="AA219" s="1556"/>
      <c r="AB219" s="500"/>
      <c r="AC219" s="500"/>
      <c r="AD219" s="500"/>
      <c r="AE219" s="500"/>
      <c r="AF219" s="1565">
        <v>11</v>
      </c>
    </row>
    <row r="220" spans="1:32" s="1565" customFormat="1" ht="11.45" customHeight="1">
      <c r="A220" s="914"/>
      <c r="B220" s="1560"/>
      <c r="C220" s="1560"/>
      <c r="D220" s="285"/>
      <c r="K220" s="1084"/>
      <c r="L220" s="1560"/>
      <c r="M220" s="1560"/>
      <c r="N220" s="1084"/>
      <c r="O220" s="1084"/>
      <c r="P220" s="1084"/>
      <c r="Q220" s="1084"/>
      <c r="R220" s="1560"/>
      <c r="S220" s="1084"/>
      <c r="T220" s="1084"/>
      <c r="U220" s="478"/>
      <c r="V220" s="1084"/>
      <c r="W220" s="1084"/>
      <c r="X220" s="1084"/>
      <c r="Y220" s="1084"/>
      <c r="Z220" s="1084"/>
      <c r="AA220" s="1556"/>
      <c r="AB220" s="500"/>
      <c r="AC220" s="500"/>
      <c r="AD220" s="500"/>
      <c r="AE220" s="500"/>
      <c r="AF220" s="1565">
        <v>11</v>
      </c>
    </row>
    <row r="221" spans="1:32" s="1565" customFormat="1" ht="11.45" customHeight="1">
      <c r="A221" s="914"/>
      <c r="B221" s="1560"/>
      <c r="C221" s="1560"/>
      <c r="D221" s="285"/>
      <c r="K221" s="1084"/>
      <c r="L221" s="1560"/>
      <c r="M221" s="1560"/>
      <c r="N221" s="1084"/>
      <c r="O221" s="1084"/>
      <c r="P221" s="1084"/>
      <c r="Q221" s="1084"/>
      <c r="R221" s="1560"/>
      <c r="S221" s="1084"/>
      <c r="T221" s="1084"/>
      <c r="U221" s="478"/>
      <c r="V221" s="1084"/>
      <c r="W221" s="1084"/>
      <c r="X221" s="1084"/>
      <c r="Y221" s="1084"/>
      <c r="Z221" s="1084"/>
      <c r="AA221" s="1556"/>
      <c r="AB221" s="500"/>
      <c r="AC221" s="500"/>
      <c r="AD221" s="500"/>
      <c r="AE221" s="500"/>
      <c r="AF221" s="1565">
        <v>11</v>
      </c>
    </row>
    <row r="222" spans="1:32" s="1565" customFormat="1" ht="11.45" customHeight="1">
      <c r="A222" s="914"/>
      <c r="B222" s="1560"/>
      <c r="C222" s="1560"/>
      <c r="D222" s="285"/>
      <c r="K222" s="1084"/>
      <c r="L222" s="1560"/>
      <c r="M222" s="1560"/>
      <c r="N222" s="1084"/>
      <c r="O222" s="1084"/>
      <c r="P222" s="1084"/>
      <c r="Q222" s="1084"/>
      <c r="R222" s="1560"/>
      <c r="S222" s="1084"/>
      <c r="T222" s="1084"/>
      <c r="U222" s="478"/>
      <c r="V222" s="1084"/>
      <c r="W222" s="1084"/>
      <c r="X222" s="1084"/>
      <c r="Y222" s="1084"/>
      <c r="Z222" s="1084"/>
      <c r="AA222" s="1556"/>
      <c r="AB222" s="500"/>
      <c r="AC222" s="500"/>
      <c r="AD222" s="500"/>
      <c r="AE222" s="500"/>
      <c r="AF222" s="1565">
        <v>11</v>
      </c>
    </row>
    <row r="223" spans="1:32" s="1565" customFormat="1" ht="11.45" customHeight="1">
      <c r="A223" s="914"/>
      <c r="B223" s="1560"/>
      <c r="C223" s="1560"/>
      <c r="D223" s="285"/>
      <c r="K223" s="1084"/>
      <c r="L223" s="1560"/>
      <c r="M223" s="1560"/>
      <c r="N223" s="1084"/>
      <c r="O223" s="1084"/>
      <c r="P223" s="1084"/>
      <c r="Q223" s="1084"/>
      <c r="R223" s="1560"/>
      <c r="S223" s="1084"/>
      <c r="T223" s="1084"/>
      <c r="U223" s="478"/>
      <c r="V223" s="1084"/>
      <c r="W223" s="1084"/>
      <c r="X223" s="1084"/>
      <c r="Y223" s="1084"/>
      <c r="Z223" s="1084"/>
      <c r="AA223" s="1556"/>
      <c r="AB223" s="500"/>
      <c r="AC223" s="500"/>
      <c r="AD223" s="500"/>
      <c r="AE223" s="500"/>
      <c r="AF223" s="1565">
        <v>11</v>
      </c>
    </row>
    <row r="224" spans="1:32" s="1565" customFormat="1" ht="11.45" customHeight="1">
      <c r="A224" s="914"/>
      <c r="B224" s="1560"/>
      <c r="C224" s="1560"/>
      <c r="D224" s="285"/>
      <c r="K224" s="1084"/>
      <c r="L224" s="1560"/>
      <c r="M224" s="1560"/>
      <c r="N224" s="1084"/>
      <c r="O224" s="1084"/>
      <c r="P224" s="1084"/>
      <c r="Q224" s="1084"/>
      <c r="R224" s="1560"/>
      <c r="S224" s="1084"/>
      <c r="T224" s="1084"/>
      <c r="U224" s="478"/>
      <c r="V224" s="1084"/>
      <c r="W224" s="1084"/>
      <c r="X224" s="1084"/>
      <c r="Y224" s="1084"/>
      <c r="Z224" s="1084"/>
      <c r="AA224" s="1556"/>
      <c r="AB224" s="500"/>
      <c r="AC224" s="500"/>
      <c r="AD224" s="500"/>
      <c r="AE224" s="500"/>
      <c r="AF224" s="1565">
        <v>11</v>
      </c>
    </row>
    <row r="225" spans="1:32" s="1565" customFormat="1" ht="11.45" customHeight="1">
      <c r="A225" s="914"/>
      <c r="B225" s="1560"/>
      <c r="C225" s="1560"/>
      <c r="D225" s="285"/>
      <c r="K225" s="1084"/>
      <c r="L225" s="1560"/>
      <c r="M225" s="1560"/>
      <c r="N225" s="1084"/>
      <c r="O225" s="1084"/>
      <c r="P225" s="1084"/>
      <c r="Q225" s="1084"/>
      <c r="R225" s="1560"/>
      <c r="S225" s="1084"/>
      <c r="T225" s="1084"/>
      <c r="U225" s="478"/>
      <c r="V225" s="1084"/>
      <c r="W225" s="1084"/>
      <c r="X225" s="1084"/>
      <c r="Y225" s="1084"/>
      <c r="Z225" s="1084"/>
      <c r="AA225" s="1556"/>
      <c r="AB225" s="500"/>
      <c r="AC225" s="500"/>
      <c r="AD225" s="500"/>
      <c r="AE225" s="500"/>
      <c r="AF225" s="1565">
        <v>11</v>
      </c>
    </row>
    <row r="226" spans="1:32" s="1565" customFormat="1" ht="11.45" customHeight="1">
      <c r="A226" s="914"/>
      <c r="B226" s="1560"/>
      <c r="C226" s="1560"/>
      <c r="D226" s="285"/>
      <c r="K226" s="1084"/>
      <c r="L226" s="1560"/>
      <c r="M226" s="1560"/>
      <c r="N226" s="1084"/>
      <c r="O226" s="1084"/>
      <c r="P226" s="1084"/>
      <c r="Q226" s="1084"/>
      <c r="R226" s="1560"/>
      <c r="S226" s="1084"/>
      <c r="T226" s="1084"/>
      <c r="U226" s="478"/>
      <c r="V226" s="1084"/>
      <c r="W226" s="1084"/>
      <c r="X226" s="1084"/>
      <c r="Y226" s="1084"/>
      <c r="Z226" s="1084"/>
      <c r="AA226" s="1556"/>
      <c r="AB226" s="500"/>
      <c r="AC226" s="500"/>
      <c r="AD226" s="500"/>
      <c r="AE226" s="500"/>
      <c r="AF226" s="1565">
        <v>11</v>
      </c>
    </row>
    <row r="227" spans="1:32" s="1565" customFormat="1" ht="11.45" customHeight="1">
      <c r="A227" s="914"/>
      <c r="B227" s="1560"/>
      <c r="C227" s="1560"/>
      <c r="D227" s="285"/>
      <c r="K227" s="1084"/>
      <c r="L227" s="1560"/>
      <c r="M227" s="1560"/>
      <c r="N227" s="1084"/>
      <c r="O227" s="1084"/>
      <c r="P227" s="1084"/>
      <c r="Q227" s="1084"/>
      <c r="R227" s="1560"/>
      <c r="S227" s="1084"/>
      <c r="T227" s="1084"/>
      <c r="U227" s="478"/>
      <c r="V227" s="1084"/>
      <c r="W227" s="1084"/>
      <c r="X227" s="1084"/>
      <c r="Y227" s="1084"/>
      <c r="Z227" s="1084"/>
      <c r="AA227" s="1556"/>
      <c r="AB227" s="500"/>
      <c r="AC227" s="500"/>
      <c r="AD227" s="500"/>
      <c r="AE227" s="500"/>
      <c r="AF227" s="1565">
        <v>11</v>
      </c>
    </row>
    <row r="228" spans="1:32" s="1565" customFormat="1" ht="11.45" customHeight="1">
      <c r="A228" s="914"/>
      <c r="B228" s="1560"/>
      <c r="C228" s="1560"/>
      <c r="D228" s="285"/>
      <c r="K228" s="1084"/>
      <c r="L228" s="1560"/>
      <c r="M228" s="1560"/>
      <c r="N228" s="1084"/>
      <c r="O228" s="1084"/>
      <c r="P228" s="1084"/>
      <c r="Q228" s="1084"/>
      <c r="R228" s="1560"/>
      <c r="S228" s="1084"/>
      <c r="T228" s="1084"/>
      <c r="U228" s="478"/>
      <c r="V228" s="1084"/>
      <c r="W228" s="1084"/>
      <c r="X228" s="1084"/>
      <c r="Y228" s="1084"/>
      <c r="Z228" s="1084"/>
      <c r="AA228" s="1556"/>
      <c r="AB228" s="500"/>
      <c r="AC228" s="500"/>
      <c r="AD228" s="500"/>
      <c r="AE228" s="500"/>
      <c r="AF228" s="1565">
        <v>11</v>
      </c>
    </row>
    <row r="229" spans="1:32" s="1565" customFormat="1" ht="11.45" customHeight="1">
      <c r="A229" s="914"/>
      <c r="B229" s="1560"/>
      <c r="C229" s="1560"/>
      <c r="D229" s="285"/>
      <c r="K229" s="1084"/>
      <c r="L229" s="1560"/>
      <c r="M229" s="1560"/>
      <c r="N229" s="1084"/>
      <c r="O229" s="1084"/>
      <c r="P229" s="1084"/>
      <c r="Q229" s="1084"/>
      <c r="R229" s="1560"/>
      <c r="S229" s="1084"/>
      <c r="T229" s="1084"/>
      <c r="U229" s="478"/>
      <c r="V229" s="1084"/>
      <c r="W229" s="1084"/>
      <c r="X229" s="1084"/>
      <c r="Y229" s="1084"/>
      <c r="Z229" s="1084"/>
      <c r="AA229" s="1556"/>
      <c r="AB229" s="500"/>
      <c r="AC229" s="500"/>
      <c r="AD229" s="500"/>
      <c r="AE229" s="500"/>
      <c r="AF229" s="1565">
        <v>11</v>
      </c>
    </row>
    <row r="230" spans="1:32" s="1565" customFormat="1" ht="11.45" customHeight="1">
      <c r="A230" s="914"/>
      <c r="B230" s="1560"/>
      <c r="C230" s="1560"/>
      <c r="D230" s="285"/>
      <c r="K230" s="1084"/>
      <c r="L230" s="1560"/>
      <c r="M230" s="1560"/>
      <c r="N230" s="1084"/>
      <c r="O230" s="1084"/>
      <c r="P230" s="1084"/>
      <c r="Q230" s="1084"/>
      <c r="R230" s="1560"/>
      <c r="S230" s="1084"/>
      <c r="T230" s="1084"/>
      <c r="U230" s="478"/>
      <c r="V230" s="1084"/>
      <c r="W230" s="1084"/>
      <c r="X230" s="1084"/>
      <c r="Y230" s="1084"/>
      <c r="Z230" s="1084"/>
      <c r="AA230" s="1556"/>
      <c r="AB230" s="500"/>
      <c r="AC230" s="500"/>
      <c r="AD230" s="500"/>
      <c r="AE230" s="500"/>
      <c r="AF230" s="1565">
        <v>11</v>
      </c>
    </row>
    <row r="231" spans="1:32" s="1565" customFormat="1" ht="11.45" customHeight="1">
      <c r="A231" s="914"/>
      <c r="B231" s="1560"/>
      <c r="C231" s="1560"/>
      <c r="D231" s="285"/>
      <c r="K231" s="1084"/>
      <c r="L231" s="1560"/>
      <c r="M231" s="1560"/>
      <c r="N231" s="1084"/>
      <c r="O231" s="1084"/>
      <c r="P231" s="1084"/>
      <c r="Q231" s="1084"/>
      <c r="R231" s="1560"/>
      <c r="S231" s="1084"/>
      <c r="T231" s="1084"/>
      <c r="U231" s="478"/>
      <c r="V231" s="1084"/>
      <c r="W231" s="1084"/>
      <c r="X231" s="1084"/>
      <c r="Y231" s="1084"/>
      <c r="Z231" s="1084"/>
      <c r="AA231" s="1556"/>
      <c r="AB231" s="500"/>
      <c r="AC231" s="500"/>
      <c r="AD231" s="500"/>
      <c r="AE231" s="500"/>
      <c r="AF231" s="1565">
        <v>11</v>
      </c>
    </row>
    <row r="232" spans="1:32" s="1565" customFormat="1" ht="11.45" customHeight="1">
      <c r="A232" s="914"/>
      <c r="B232" s="1560"/>
      <c r="C232" s="1560"/>
      <c r="D232" s="285"/>
      <c r="K232" s="1084"/>
      <c r="L232" s="1560"/>
      <c r="M232" s="1560"/>
      <c r="N232" s="1084"/>
      <c r="O232" s="1084"/>
      <c r="P232" s="1084"/>
      <c r="Q232" s="1084"/>
      <c r="R232" s="1560"/>
      <c r="S232" s="1084"/>
      <c r="T232" s="1084"/>
      <c r="U232" s="478"/>
      <c r="V232" s="1084"/>
      <c r="W232" s="1084"/>
      <c r="X232" s="1084"/>
      <c r="Y232" s="1084"/>
      <c r="Z232" s="1084"/>
      <c r="AA232" s="1556"/>
      <c r="AB232" s="500"/>
      <c r="AC232" s="500"/>
      <c r="AD232" s="500"/>
      <c r="AE232" s="500"/>
      <c r="AF232" s="1565">
        <v>11</v>
      </c>
    </row>
    <row r="233" spans="1:32" s="1565" customFormat="1" ht="11.45" customHeight="1">
      <c r="A233" s="914"/>
      <c r="B233" s="1560"/>
      <c r="C233" s="1560"/>
      <c r="D233" s="285"/>
      <c r="K233" s="1084"/>
      <c r="L233" s="1560"/>
      <c r="M233" s="1560"/>
      <c r="N233" s="1084"/>
      <c r="O233" s="1084"/>
      <c r="P233" s="1084"/>
      <c r="Q233" s="1084"/>
      <c r="R233" s="1560"/>
      <c r="S233" s="1084"/>
      <c r="T233" s="1084"/>
      <c r="U233" s="478"/>
      <c r="V233" s="1084"/>
      <c r="W233" s="1084"/>
      <c r="X233" s="1084"/>
      <c r="Y233" s="1084"/>
      <c r="Z233" s="1084"/>
      <c r="AA233" s="1556"/>
      <c r="AB233" s="500"/>
      <c r="AC233" s="500"/>
      <c r="AD233" s="500"/>
      <c r="AE233" s="500"/>
      <c r="AF233" s="1565">
        <v>11</v>
      </c>
    </row>
    <row r="234" spans="1:32" s="1565" customFormat="1" ht="11.45" customHeight="1">
      <c r="A234" s="914"/>
      <c r="B234" s="1560"/>
      <c r="C234" s="1560"/>
      <c r="D234" s="285"/>
      <c r="K234" s="1084"/>
      <c r="L234" s="1560"/>
      <c r="M234" s="1560"/>
      <c r="N234" s="1084"/>
      <c r="O234" s="1084"/>
      <c r="P234" s="1084"/>
      <c r="Q234" s="1084"/>
      <c r="R234" s="1560"/>
      <c r="S234" s="1084"/>
      <c r="T234" s="1084"/>
      <c r="U234" s="478"/>
      <c r="V234" s="1084"/>
      <c r="W234" s="1084"/>
      <c r="X234" s="1084"/>
      <c r="Y234" s="1084"/>
      <c r="Z234" s="1084"/>
      <c r="AA234" s="1556"/>
      <c r="AB234" s="500"/>
      <c r="AC234" s="500"/>
      <c r="AD234" s="500"/>
      <c r="AE234" s="500"/>
      <c r="AF234" s="1565">
        <v>11</v>
      </c>
    </row>
    <row r="235" spans="1:32" s="1565" customFormat="1" ht="11.45" customHeight="1">
      <c r="A235" s="914"/>
      <c r="B235" s="1560"/>
      <c r="C235" s="1560"/>
      <c r="D235" s="285"/>
      <c r="K235" s="1084"/>
      <c r="L235" s="1560"/>
      <c r="M235" s="1560"/>
      <c r="N235" s="1084"/>
      <c r="O235" s="1084"/>
      <c r="P235" s="1084"/>
      <c r="Q235" s="1084"/>
      <c r="R235" s="1560"/>
      <c r="S235" s="1084"/>
      <c r="T235" s="1084"/>
      <c r="U235" s="478"/>
      <c r="V235" s="1084"/>
      <c r="W235" s="1084"/>
      <c r="X235" s="1084"/>
      <c r="Y235" s="1084"/>
      <c r="Z235" s="1084"/>
      <c r="AA235" s="1556"/>
      <c r="AB235" s="500"/>
      <c r="AC235" s="500"/>
      <c r="AD235" s="500"/>
      <c r="AE235" s="500"/>
      <c r="AF235" s="1565">
        <v>11</v>
      </c>
    </row>
    <row r="236" spans="1:32" s="1565" customFormat="1" ht="11.45" customHeight="1">
      <c r="A236" s="914"/>
      <c r="B236" s="1560"/>
      <c r="C236" s="1560"/>
      <c r="D236" s="285"/>
      <c r="K236" s="1084"/>
      <c r="L236" s="1560"/>
      <c r="M236" s="1560"/>
      <c r="N236" s="1084"/>
      <c r="O236" s="1084"/>
      <c r="P236" s="1084"/>
      <c r="Q236" s="1084"/>
      <c r="R236" s="1560"/>
      <c r="S236" s="1084"/>
      <c r="T236" s="1084"/>
      <c r="U236" s="478"/>
      <c r="V236" s="1084"/>
      <c r="W236" s="1084"/>
      <c r="X236" s="1084"/>
      <c r="Y236" s="1084"/>
      <c r="Z236" s="1084"/>
      <c r="AA236" s="1556"/>
      <c r="AB236" s="500"/>
      <c r="AC236" s="500"/>
      <c r="AD236" s="500"/>
      <c r="AE236" s="500"/>
      <c r="AF236" s="1565">
        <v>11</v>
      </c>
    </row>
    <row r="237" spans="1:32" s="1565" customFormat="1" ht="11.45" customHeight="1">
      <c r="A237" s="914"/>
      <c r="B237" s="1560"/>
      <c r="C237" s="1560"/>
      <c r="D237" s="285"/>
      <c r="K237" s="1084"/>
      <c r="L237" s="1560"/>
      <c r="M237" s="1560"/>
      <c r="N237" s="1084"/>
      <c r="O237" s="1084"/>
      <c r="P237" s="1084"/>
      <c r="Q237" s="1084"/>
      <c r="R237" s="1560"/>
      <c r="S237" s="1084"/>
      <c r="T237" s="1084"/>
      <c r="U237" s="478"/>
      <c r="V237" s="1084"/>
      <c r="W237" s="1084"/>
      <c r="X237" s="1084"/>
      <c r="Y237" s="1084"/>
      <c r="Z237" s="1084"/>
      <c r="AA237" s="1556"/>
      <c r="AB237" s="500"/>
      <c r="AC237" s="500"/>
      <c r="AD237" s="500"/>
      <c r="AE237" s="500"/>
      <c r="AF237" s="1565">
        <v>11</v>
      </c>
    </row>
    <row r="238" spans="1:32" s="1565" customFormat="1" ht="11.45" customHeight="1">
      <c r="A238" s="914"/>
      <c r="B238" s="1560"/>
      <c r="C238" s="1560"/>
      <c r="D238" s="285"/>
      <c r="K238" s="1084"/>
      <c r="L238" s="1560"/>
      <c r="M238" s="1560"/>
      <c r="N238" s="1084"/>
      <c r="O238" s="1084"/>
      <c r="P238" s="1084"/>
      <c r="Q238" s="1084"/>
      <c r="R238" s="1560"/>
      <c r="S238" s="1084"/>
      <c r="T238" s="1084"/>
      <c r="U238" s="478"/>
      <c r="V238" s="1084"/>
      <c r="W238" s="1084"/>
      <c r="X238" s="1084"/>
      <c r="Y238" s="1084"/>
      <c r="Z238" s="1084"/>
      <c r="AA238" s="1556"/>
      <c r="AB238" s="500"/>
      <c r="AC238" s="500"/>
      <c r="AD238" s="500"/>
      <c r="AE238" s="500"/>
      <c r="AF238" s="1565">
        <v>11</v>
      </c>
    </row>
    <row r="239" spans="1:32" s="1565" customFormat="1" ht="11.45" customHeight="1">
      <c r="A239" s="914"/>
      <c r="B239" s="1560"/>
      <c r="C239" s="1560"/>
      <c r="D239" s="285"/>
      <c r="K239" s="1084"/>
      <c r="L239" s="1560"/>
      <c r="M239" s="1560"/>
      <c r="N239" s="1084"/>
      <c r="O239" s="1084"/>
      <c r="P239" s="1084"/>
      <c r="Q239" s="1084"/>
      <c r="R239" s="1560"/>
      <c r="S239" s="1084"/>
      <c r="T239" s="1084"/>
      <c r="U239" s="478"/>
      <c r="V239" s="1084"/>
      <c r="W239" s="1084"/>
      <c r="X239" s="1084"/>
      <c r="Y239" s="1084"/>
      <c r="Z239" s="1084"/>
      <c r="AA239" s="1556"/>
      <c r="AB239" s="500"/>
      <c r="AC239" s="500"/>
      <c r="AD239" s="500"/>
      <c r="AE239" s="500"/>
      <c r="AF239" s="1565">
        <v>11</v>
      </c>
    </row>
    <row r="240" spans="1:32" s="1565" customFormat="1" ht="11.45" customHeight="1">
      <c r="A240" s="914"/>
      <c r="B240" s="1560"/>
      <c r="C240" s="1560"/>
      <c r="D240" s="285"/>
      <c r="K240" s="1084"/>
      <c r="L240" s="1560"/>
      <c r="M240" s="1560"/>
      <c r="N240" s="1084"/>
      <c r="O240" s="1084"/>
      <c r="P240" s="1084"/>
      <c r="Q240" s="1084"/>
      <c r="R240" s="1560"/>
      <c r="S240" s="1084"/>
      <c r="T240" s="1084"/>
      <c r="U240" s="478"/>
      <c r="V240" s="1084"/>
      <c r="W240" s="1084"/>
      <c r="X240" s="1084"/>
      <c r="Y240" s="1084"/>
      <c r="Z240" s="1084"/>
      <c r="AA240" s="1556"/>
      <c r="AB240" s="500"/>
      <c r="AC240" s="500"/>
      <c r="AD240" s="500"/>
      <c r="AE240" s="500"/>
      <c r="AF240" s="1565">
        <v>11</v>
      </c>
    </row>
    <row r="241" spans="1:32" s="1565" customFormat="1" ht="11.45" customHeight="1">
      <c r="A241" s="914"/>
      <c r="B241" s="1560"/>
      <c r="C241" s="1560"/>
      <c r="D241" s="285"/>
      <c r="K241" s="1084"/>
      <c r="L241" s="1560"/>
      <c r="M241" s="1560"/>
      <c r="N241" s="1084"/>
      <c r="O241" s="1084"/>
      <c r="P241" s="1084"/>
      <c r="Q241" s="1084"/>
      <c r="R241" s="1560"/>
      <c r="S241" s="1084"/>
      <c r="T241" s="1084"/>
      <c r="U241" s="478"/>
      <c r="V241" s="1084"/>
      <c r="W241" s="1084"/>
      <c r="X241" s="1084"/>
      <c r="Y241" s="1084"/>
      <c r="Z241" s="1084"/>
      <c r="AA241" s="1556"/>
      <c r="AB241" s="500"/>
      <c r="AC241" s="500"/>
      <c r="AD241" s="500"/>
      <c r="AE241" s="500"/>
      <c r="AF241" s="1565">
        <v>11</v>
      </c>
    </row>
    <row r="242" spans="1:32" s="1565" customFormat="1" ht="11.45" customHeight="1">
      <c r="A242" s="914"/>
      <c r="B242" s="1560"/>
      <c r="C242" s="1560"/>
      <c r="D242" s="285"/>
      <c r="K242" s="1084"/>
      <c r="L242" s="1560"/>
      <c r="M242" s="1560"/>
      <c r="N242" s="1084"/>
      <c r="O242" s="1084"/>
      <c r="P242" s="1084"/>
      <c r="Q242" s="1084"/>
      <c r="R242" s="1560"/>
      <c r="S242" s="1084"/>
      <c r="T242" s="1084"/>
      <c r="U242" s="478"/>
      <c r="V242" s="1084"/>
      <c r="W242" s="1084"/>
      <c r="X242" s="1084"/>
      <c r="Y242" s="1084"/>
      <c r="Z242" s="1084"/>
      <c r="AA242" s="1556"/>
      <c r="AB242" s="500"/>
      <c r="AC242" s="500"/>
      <c r="AD242" s="500"/>
      <c r="AE242" s="500"/>
      <c r="AF242" s="1565">
        <v>11</v>
      </c>
    </row>
    <row r="243" spans="1:32" s="1565" customFormat="1" ht="11.45" customHeight="1">
      <c r="A243" s="914"/>
      <c r="B243" s="1560"/>
      <c r="C243" s="1560"/>
      <c r="D243" s="285"/>
      <c r="K243" s="1084"/>
      <c r="L243" s="1560"/>
      <c r="M243" s="1560"/>
      <c r="N243" s="1084"/>
      <c r="O243" s="1084"/>
      <c r="P243" s="1084"/>
      <c r="Q243" s="1084"/>
      <c r="R243" s="1560"/>
      <c r="S243" s="1084"/>
      <c r="T243" s="1084"/>
      <c r="U243" s="478"/>
      <c r="V243" s="1084"/>
      <c r="W243" s="1084"/>
      <c r="X243" s="1084"/>
      <c r="Y243" s="1084"/>
      <c r="Z243" s="1084"/>
      <c r="AA243" s="1556"/>
      <c r="AB243" s="500"/>
      <c r="AC243" s="500"/>
      <c r="AD243" s="500"/>
      <c r="AE243" s="500"/>
      <c r="AF243" s="1565">
        <v>11</v>
      </c>
    </row>
    <row r="244" spans="1:32" s="1565" customFormat="1" ht="11.45" customHeight="1">
      <c r="A244" s="914"/>
      <c r="B244" s="1560"/>
      <c r="C244" s="1560"/>
      <c r="D244" s="285"/>
      <c r="K244" s="1084"/>
      <c r="L244" s="1560"/>
      <c r="M244" s="1560"/>
      <c r="N244" s="1084"/>
      <c r="O244" s="1084"/>
      <c r="P244" s="1084"/>
      <c r="Q244" s="1084"/>
      <c r="R244" s="1560"/>
      <c r="S244" s="1084"/>
      <c r="T244" s="1084"/>
      <c r="U244" s="478"/>
      <c r="V244" s="1084"/>
      <c r="W244" s="1084"/>
      <c r="X244" s="1084"/>
      <c r="Y244" s="1084"/>
      <c r="Z244" s="1084"/>
      <c r="AA244" s="1556"/>
      <c r="AB244" s="500"/>
      <c r="AC244" s="500"/>
      <c r="AD244" s="500"/>
      <c r="AE244" s="500"/>
      <c r="AF244" s="1565">
        <v>11</v>
      </c>
    </row>
    <row r="245" spans="1:32" s="1565" customFormat="1" ht="11.45" customHeight="1">
      <c r="A245" s="914"/>
      <c r="B245" s="1560"/>
      <c r="C245" s="1560"/>
      <c r="D245" s="285"/>
      <c r="K245" s="1084"/>
      <c r="L245" s="1560"/>
      <c r="M245" s="1560"/>
      <c r="N245" s="1084"/>
      <c r="O245" s="1084"/>
      <c r="P245" s="1084"/>
      <c r="Q245" s="1084"/>
      <c r="R245" s="1560"/>
      <c r="S245" s="1084"/>
      <c r="T245" s="1084"/>
      <c r="U245" s="478"/>
      <c r="V245" s="1084"/>
      <c r="W245" s="1084"/>
      <c r="X245" s="1084"/>
      <c r="Y245" s="1084"/>
      <c r="Z245" s="1084"/>
      <c r="AA245" s="1556"/>
      <c r="AB245" s="500"/>
      <c r="AC245" s="500"/>
      <c r="AD245" s="500"/>
      <c r="AE245" s="500"/>
      <c r="AF245" s="1565">
        <v>11</v>
      </c>
    </row>
    <row r="246" spans="1:32" s="1565" customFormat="1" ht="11.45" customHeight="1">
      <c r="A246" s="914"/>
      <c r="B246" s="1560"/>
      <c r="C246" s="1560"/>
      <c r="D246" s="285"/>
      <c r="K246" s="1084"/>
      <c r="L246" s="1560"/>
      <c r="M246" s="1560"/>
      <c r="N246" s="1084"/>
      <c r="O246" s="1084"/>
      <c r="P246" s="1084"/>
      <c r="Q246" s="1084"/>
      <c r="R246" s="1560"/>
      <c r="S246" s="1084"/>
      <c r="T246" s="1084"/>
      <c r="U246" s="478"/>
      <c r="V246" s="1084"/>
      <c r="W246" s="1084"/>
      <c r="X246" s="1084"/>
      <c r="Y246" s="1084"/>
      <c r="Z246" s="1084"/>
      <c r="AA246" s="1556"/>
      <c r="AB246" s="500"/>
      <c r="AC246" s="500"/>
      <c r="AD246" s="500"/>
      <c r="AE246" s="500"/>
      <c r="AF246" s="1565">
        <v>11</v>
      </c>
    </row>
    <row r="247" spans="1:32" s="1565" customFormat="1" ht="11.45" customHeight="1">
      <c r="A247" s="914"/>
      <c r="B247" s="1560"/>
      <c r="C247" s="1560"/>
      <c r="D247" s="285"/>
      <c r="K247" s="1084"/>
      <c r="L247" s="1560"/>
      <c r="M247" s="1560"/>
      <c r="N247" s="1084"/>
      <c r="O247" s="1084"/>
      <c r="P247" s="1084"/>
      <c r="Q247" s="1084"/>
      <c r="R247" s="1560"/>
      <c r="S247" s="1084"/>
      <c r="T247" s="1084"/>
      <c r="U247" s="478"/>
      <c r="V247" s="1084"/>
      <c r="W247" s="1084"/>
      <c r="X247" s="1084"/>
      <c r="Y247" s="1084"/>
      <c r="Z247" s="1084"/>
      <c r="AA247" s="1556"/>
      <c r="AB247" s="500"/>
      <c r="AC247" s="500"/>
      <c r="AD247" s="500"/>
      <c r="AE247" s="500"/>
      <c r="AF247" s="1565">
        <v>11</v>
      </c>
    </row>
    <row r="248" spans="1:32" s="1565" customFormat="1" ht="11.45" customHeight="1">
      <c r="A248" s="914"/>
      <c r="B248" s="1560"/>
      <c r="C248" s="1560"/>
      <c r="D248" s="285"/>
      <c r="K248" s="1084"/>
      <c r="L248" s="1560"/>
      <c r="M248" s="1560"/>
      <c r="N248" s="1084"/>
      <c r="O248" s="1084"/>
      <c r="P248" s="1084"/>
      <c r="Q248" s="1084"/>
      <c r="R248" s="1560"/>
      <c r="S248" s="1084"/>
      <c r="T248" s="1084"/>
      <c r="U248" s="478"/>
      <c r="V248" s="1084"/>
      <c r="W248" s="1084"/>
      <c r="X248" s="1084"/>
      <c r="Y248" s="1084"/>
      <c r="Z248" s="1084"/>
      <c r="AA248" s="1556"/>
      <c r="AB248" s="500"/>
      <c r="AC248" s="500"/>
      <c r="AD248" s="500"/>
      <c r="AE248" s="500"/>
      <c r="AF248" s="1565">
        <v>11</v>
      </c>
    </row>
    <row r="249" spans="1:32" s="1565" customFormat="1" ht="11.45" customHeight="1">
      <c r="A249" s="914"/>
      <c r="B249" s="1560"/>
      <c r="C249" s="1560"/>
      <c r="D249" s="285"/>
      <c r="K249" s="1084"/>
      <c r="L249" s="1560"/>
      <c r="M249" s="1560"/>
      <c r="N249" s="1084"/>
      <c r="O249" s="1084"/>
      <c r="P249" s="1084"/>
      <c r="Q249" s="1084"/>
      <c r="R249" s="1560"/>
      <c r="S249" s="1084"/>
      <c r="T249" s="1084"/>
      <c r="U249" s="478"/>
      <c r="V249" s="1084"/>
      <c r="W249" s="1084"/>
      <c r="X249" s="1084"/>
      <c r="Y249" s="1084"/>
      <c r="Z249" s="1084"/>
      <c r="AA249" s="1556"/>
      <c r="AB249" s="500"/>
      <c r="AC249" s="500"/>
      <c r="AD249" s="500"/>
      <c r="AE249" s="500"/>
      <c r="AF249" s="1565">
        <v>11</v>
      </c>
    </row>
    <row r="250" spans="1:32" s="1565" customFormat="1" ht="11.45" customHeight="1">
      <c r="A250" s="914"/>
      <c r="B250" s="1560"/>
      <c r="C250" s="1560"/>
      <c r="D250" s="285"/>
      <c r="K250" s="1084"/>
      <c r="L250" s="1560"/>
      <c r="M250" s="1560"/>
      <c r="N250" s="1084"/>
      <c r="O250" s="1084"/>
      <c r="P250" s="1084"/>
      <c r="Q250" s="1084"/>
      <c r="R250" s="1560"/>
      <c r="S250" s="1084"/>
      <c r="T250" s="1084"/>
      <c r="U250" s="478"/>
      <c r="V250" s="1084"/>
      <c r="W250" s="1084"/>
      <c r="X250" s="1084"/>
      <c r="Y250" s="1084"/>
      <c r="Z250" s="1084"/>
      <c r="AA250" s="1556"/>
      <c r="AB250" s="500"/>
      <c r="AC250" s="500"/>
      <c r="AD250" s="500"/>
      <c r="AE250" s="500"/>
      <c r="AF250" s="1565">
        <v>11</v>
      </c>
    </row>
    <row r="251" spans="1:32" s="1565" customFormat="1" ht="11.45" customHeight="1">
      <c r="A251" s="914"/>
      <c r="B251" s="1560"/>
      <c r="C251" s="1560"/>
      <c r="D251" s="285"/>
      <c r="K251" s="1084"/>
      <c r="L251" s="1560"/>
      <c r="M251" s="1560"/>
      <c r="N251" s="1084"/>
      <c r="O251" s="1084"/>
      <c r="P251" s="1084"/>
      <c r="Q251" s="1084"/>
      <c r="R251" s="1560"/>
      <c r="S251" s="1084"/>
      <c r="T251" s="1084"/>
      <c r="U251" s="478"/>
      <c r="V251" s="1084"/>
      <c r="W251" s="1084"/>
      <c r="X251" s="1084"/>
      <c r="Y251" s="1084"/>
      <c r="Z251" s="1084"/>
      <c r="AA251" s="1556"/>
      <c r="AB251" s="500"/>
      <c r="AC251" s="500"/>
      <c r="AD251" s="500"/>
      <c r="AE251" s="500"/>
      <c r="AF251" s="1565">
        <v>11</v>
      </c>
    </row>
    <row r="252" spans="1:32" s="1565" customFormat="1" ht="11.45" customHeight="1">
      <c r="A252" s="914"/>
      <c r="B252" s="1560"/>
      <c r="C252" s="1560"/>
      <c r="D252" s="285"/>
      <c r="K252" s="1084"/>
      <c r="L252" s="1560"/>
      <c r="M252" s="1560"/>
      <c r="N252" s="1084"/>
      <c r="O252" s="1084"/>
      <c r="P252" s="1084"/>
      <c r="Q252" s="1084"/>
      <c r="R252" s="1560"/>
      <c r="S252" s="1084"/>
      <c r="T252" s="1084"/>
      <c r="U252" s="478"/>
      <c r="V252" s="1084"/>
      <c r="W252" s="1084"/>
      <c r="X252" s="1084"/>
      <c r="Y252" s="1084"/>
      <c r="Z252" s="1084"/>
      <c r="AA252" s="1556"/>
      <c r="AB252" s="500"/>
      <c r="AC252" s="500"/>
      <c r="AD252" s="500"/>
      <c r="AE252" s="500"/>
      <c r="AF252" s="1565">
        <v>11</v>
      </c>
    </row>
    <row r="253" spans="1:32" s="1565" customFormat="1" ht="11.45" customHeight="1">
      <c r="A253" s="914"/>
      <c r="B253" s="1560"/>
      <c r="C253" s="1560"/>
      <c r="D253" s="285"/>
      <c r="K253" s="1084"/>
      <c r="L253" s="1560"/>
      <c r="M253" s="1560"/>
      <c r="N253" s="1084"/>
      <c r="O253" s="1084"/>
      <c r="P253" s="1084"/>
      <c r="Q253" s="1084"/>
      <c r="R253" s="1560"/>
      <c r="S253" s="1084"/>
      <c r="T253" s="1084"/>
      <c r="U253" s="478"/>
      <c r="V253" s="1084"/>
      <c r="W253" s="1084"/>
      <c r="X253" s="1084"/>
      <c r="Y253" s="1084"/>
      <c r="Z253" s="1084"/>
      <c r="AA253" s="1556"/>
      <c r="AB253" s="500"/>
      <c r="AC253" s="500"/>
      <c r="AD253" s="500"/>
      <c r="AE253" s="500"/>
      <c r="AF253" s="1565">
        <v>11</v>
      </c>
    </row>
    <row r="254" spans="1:32" s="1565" customFormat="1" ht="11.45" customHeight="1">
      <c r="A254" s="914"/>
      <c r="B254" s="1560"/>
      <c r="C254" s="1560"/>
      <c r="D254" s="285"/>
      <c r="K254" s="1084"/>
      <c r="L254" s="1560"/>
      <c r="M254" s="1560"/>
      <c r="N254" s="1084"/>
      <c r="O254" s="1084"/>
      <c r="P254" s="1084"/>
      <c r="Q254" s="1084"/>
      <c r="R254" s="1560"/>
      <c r="S254" s="1084"/>
      <c r="T254" s="1084"/>
      <c r="U254" s="478"/>
      <c r="V254" s="1084"/>
      <c r="W254" s="1084"/>
      <c r="X254" s="1084"/>
      <c r="Y254" s="1084"/>
      <c r="Z254" s="1084"/>
      <c r="AA254" s="1556"/>
      <c r="AB254" s="500"/>
      <c r="AC254" s="500"/>
      <c r="AD254" s="500"/>
      <c r="AE254" s="500"/>
      <c r="AF254" s="1565">
        <v>11</v>
      </c>
    </row>
    <row r="255" spans="1:32" s="1565" customFormat="1" ht="11.45" customHeight="1">
      <c r="A255" s="914"/>
      <c r="B255" s="1560"/>
      <c r="C255" s="1560"/>
      <c r="D255" s="285"/>
      <c r="K255" s="1084"/>
      <c r="L255" s="1560"/>
      <c r="M255" s="1560"/>
      <c r="N255" s="1084"/>
      <c r="O255" s="1084"/>
      <c r="P255" s="1084"/>
      <c r="Q255" s="1084"/>
      <c r="R255" s="1560"/>
      <c r="S255" s="1084"/>
      <c r="T255" s="1084"/>
      <c r="U255" s="478"/>
      <c r="V255" s="1084"/>
      <c r="W255" s="1084"/>
      <c r="X255" s="1084"/>
      <c r="Y255" s="1084"/>
      <c r="Z255" s="1084"/>
      <c r="AA255" s="1556"/>
      <c r="AB255" s="500"/>
      <c r="AC255" s="500"/>
      <c r="AD255" s="500"/>
      <c r="AE255" s="500"/>
      <c r="AF255" s="1565">
        <v>11</v>
      </c>
    </row>
    <row r="256" spans="1:32" s="1565" customFormat="1" ht="11.45" customHeight="1">
      <c r="A256" s="914"/>
      <c r="B256" s="1560"/>
      <c r="C256" s="1560"/>
      <c r="D256" s="285"/>
      <c r="K256" s="1084"/>
      <c r="L256" s="1560"/>
      <c r="M256" s="1560"/>
      <c r="N256" s="1084"/>
      <c r="O256" s="1084"/>
      <c r="P256" s="1084"/>
      <c r="Q256" s="1084"/>
      <c r="R256" s="1560"/>
      <c r="S256" s="1084"/>
      <c r="T256" s="1084"/>
      <c r="U256" s="478"/>
      <c r="V256" s="1084"/>
      <c r="W256" s="1084"/>
      <c r="X256" s="1084"/>
      <c r="Y256" s="1084"/>
      <c r="Z256" s="1084"/>
      <c r="AA256" s="1556"/>
      <c r="AB256" s="500"/>
      <c r="AC256" s="500"/>
      <c r="AD256" s="500"/>
      <c r="AE256" s="500"/>
      <c r="AF256" s="1565">
        <v>11</v>
      </c>
    </row>
    <row r="257" spans="1:32" s="1565" customFormat="1" ht="11.45" customHeight="1">
      <c r="A257" s="914"/>
      <c r="B257" s="1560"/>
      <c r="C257" s="1560"/>
      <c r="D257" s="285"/>
      <c r="K257" s="1084"/>
      <c r="L257" s="1560"/>
      <c r="M257" s="1560"/>
      <c r="N257" s="1084"/>
      <c r="O257" s="1084"/>
      <c r="P257" s="1084"/>
      <c r="Q257" s="1084"/>
      <c r="R257" s="1560"/>
      <c r="S257" s="1084"/>
      <c r="T257" s="1084"/>
      <c r="U257" s="478"/>
      <c r="V257" s="1084"/>
      <c r="W257" s="1084"/>
      <c r="X257" s="1084"/>
      <c r="Y257" s="1084"/>
      <c r="Z257" s="1084"/>
      <c r="AA257" s="1556"/>
      <c r="AB257" s="500"/>
      <c r="AC257" s="500"/>
      <c r="AD257" s="500"/>
      <c r="AE257" s="500"/>
      <c r="AF257" s="1565">
        <v>11</v>
      </c>
    </row>
    <row r="258" spans="1:32" s="1565" customFormat="1" ht="11.45" customHeight="1">
      <c r="A258" s="914"/>
      <c r="B258" s="1560"/>
      <c r="C258" s="1560"/>
      <c r="D258" s="285"/>
      <c r="K258" s="1084"/>
      <c r="L258" s="1560"/>
      <c r="M258" s="1560"/>
      <c r="N258" s="1084"/>
      <c r="O258" s="1084"/>
      <c r="P258" s="1084"/>
      <c r="Q258" s="1084"/>
      <c r="R258" s="1560"/>
      <c r="S258" s="1084"/>
      <c r="T258" s="1084"/>
      <c r="U258" s="478"/>
      <c r="V258" s="1084"/>
      <c r="W258" s="1084"/>
      <c r="X258" s="1084"/>
      <c r="Y258" s="1084"/>
      <c r="Z258" s="1084"/>
      <c r="AA258" s="1556"/>
      <c r="AB258" s="500"/>
      <c r="AC258" s="500"/>
      <c r="AD258" s="500"/>
      <c r="AE258" s="500"/>
      <c r="AF258" s="1565">
        <v>11</v>
      </c>
    </row>
    <row r="259" spans="1:32" s="1565" customFormat="1" ht="11.45" customHeight="1">
      <c r="A259" s="914"/>
      <c r="B259" s="1560"/>
      <c r="C259" s="1560"/>
      <c r="D259" s="285"/>
      <c r="K259" s="1084"/>
      <c r="L259" s="1560"/>
      <c r="M259" s="1560"/>
      <c r="N259" s="1084"/>
      <c r="O259" s="1084"/>
      <c r="P259" s="1084"/>
      <c r="Q259" s="1084"/>
      <c r="R259" s="1560"/>
      <c r="S259" s="1084"/>
      <c r="T259" s="1084"/>
      <c r="U259" s="478"/>
      <c r="V259" s="1084"/>
      <c r="W259" s="1084"/>
      <c r="X259" s="1084"/>
      <c r="Y259" s="1084"/>
      <c r="Z259" s="1084"/>
      <c r="AA259" s="1556"/>
      <c r="AB259" s="500"/>
      <c r="AC259" s="500"/>
      <c r="AD259" s="500"/>
      <c r="AE259" s="500"/>
      <c r="AF259" s="1565">
        <v>11</v>
      </c>
    </row>
    <row r="260" spans="1:32" s="1565" customFormat="1" ht="11.45" customHeight="1">
      <c r="A260" s="914"/>
      <c r="B260" s="1560"/>
      <c r="C260" s="1560"/>
      <c r="D260" s="285"/>
      <c r="K260" s="1084"/>
      <c r="L260" s="1560"/>
      <c r="M260" s="1560"/>
      <c r="N260" s="1084"/>
      <c r="O260" s="1084"/>
      <c r="P260" s="1084"/>
      <c r="Q260" s="1084"/>
      <c r="R260" s="1560"/>
      <c r="S260" s="1084"/>
      <c r="T260" s="1084"/>
      <c r="U260" s="478"/>
      <c r="V260" s="1084"/>
      <c r="W260" s="1084"/>
      <c r="X260" s="1084"/>
      <c r="Y260" s="1084"/>
      <c r="Z260" s="1084"/>
      <c r="AA260" s="1556"/>
      <c r="AB260" s="500"/>
      <c r="AC260" s="500"/>
      <c r="AD260" s="500"/>
      <c r="AE260" s="500"/>
      <c r="AF260" s="1565">
        <v>11</v>
      </c>
    </row>
    <row r="261" spans="1:32" s="1565" customFormat="1" ht="11.45" customHeight="1">
      <c r="A261" s="914"/>
      <c r="B261" s="1560"/>
      <c r="C261" s="1560"/>
      <c r="D261" s="285"/>
      <c r="K261" s="1084"/>
      <c r="L261" s="1560"/>
      <c r="M261" s="1560"/>
      <c r="N261" s="1084"/>
      <c r="O261" s="1084"/>
      <c r="P261" s="1084"/>
      <c r="Q261" s="1084"/>
      <c r="R261" s="1560"/>
      <c r="S261" s="1084"/>
      <c r="T261" s="1084"/>
      <c r="U261" s="478"/>
      <c r="V261" s="1084"/>
      <c r="W261" s="1084"/>
      <c r="X261" s="1084"/>
      <c r="Y261" s="1084"/>
      <c r="Z261" s="1084"/>
      <c r="AA261" s="1556"/>
      <c r="AB261" s="500"/>
      <c r="AC261" s="500"/>
      <c r="AD261" s="500"/>
      <c r="AE261" s="500"/>
      <c r="AF261" s="1565">
        <v>11</v>
      </c>
    </row>
    <row r="262" spans="1:32" s="1565" customFormat="1" ht="11.45" customHeight="1">
      <c r="A262" s="914"/>
      <c r="B262" s="1560"/>
      <c r="C262" s="1560"/>
      <c r="D262" s="285"/>
      <c r="K262" s="1084"/>
      <c r="L262" s="1560"/>
      <c r="M262" s="1560"/>
      <c r="N262" s="1084"/>
      <c r="O262" s="1084"/>
      <c r="P262" s="1084"/>
      <c r="Q262" s="1084"/>
      <c r="R262" s="1560"/>
      <c r="S262" s="1084"/>
      <c r="T262" s="1084"/>
      <c r="U262" s="478"/>
      <c r="V262" s="1084"/>
      <c r="W262" s="1084"/>
      <c r="X262" s="1084"/>
      <c r="Y262" s="1084"/>
      <c r="Z262" s="1084"/>
      <c r="AA262" s="1556"/>
      <c r="AB262" s="500"/>
      <c r="AC262" s="500"/>
      <c r="AD262" s="500"/>
      <c r="AE262" s="500"/>
      <c r="AF262" s="1565">
        <v>11</v>
      </c>
    </row>
    <row r="263" spans="1:32" s="1565" customFormat="1" ht="11.45" customHeight="1">
      <c r="A263" s="914"/>
      <c r="B263" s="1560"/>
      <c r="C263" s="1560"/>
      <c r="D263" s="285"/>
      <c r="K263" s="1084"/>
      <c r="L263" s="1560"/>
      <c r="M263" s="1560"/>
      <c r="N263" s="1084"/>
      <c r="O263" s="1084"/>
      <c r="P263" s="1084"/>
      <c r="Q263" s="1084"/>
      <c r="R263" s="1560"/>
      <c r="S263" s="1084"/>
      <c r="T263" s="1084"/>
      <c r="U263" s="478"/>
      <c r="V263" s="1084"/>
      <c r="W263" s="1084"/>
      <c r="X263" s="1084"/>
      <c r="Y263" s="1084"/>
      <c r="Z263" s="1084"/>
      <c r="AA263" s="1556"/>
      <c r="AB263" s="500"/>
      <c r="AC263" s="500"/>
      <c r="AD263" s="500"/>
      <c r="AE263" s="500"/>
      <c r="AF263" s="1565">
        <v>11</v>
      </c>
    </row>
    <row r="264" spans="1:32" s="1565" customFormat="1" ht="11.45" customHeight="1">
      <c r="A264" s="914"/>
      <c r="B264" s="1560"/>
      <c r="C264" s="1560"/>
      <c r="D264" s="285"/>
      <c r="K264" s="1084"/>
      <c r="L264" s="1560"/>
      <c r="M264" s="1560"/>
      <c r="N264" s="1084"/>
      <c r="O264" s="1084"/>
      <c r="P264" s="1084"/>
      <c r="Q264" s="1084"/>
      <c r="R264" s="1560"/>
      <c r="S264" s="1084"/>
      <c r="T264" s="1084"/>
      <c r="U264" s="478"/>
      <c r="V264" s="1084"/>
      <c r="W264" s="1084"/>
      <c r="X264" s="1084"/>
      <c r="Y264" s="1084"/>
      <c r="Z264" s="1084"/>
      <c r="AA264" s="1556"/>
      <c r="AB264" s="500"/>
      <c r="AC264" s="500"/>
      <c r="AD264" s="500"/>
      <c r="AE264" s="500"/>
      <c r="AF264" s="1565">
        <v>11</v>
      </c>
    </row>
    <row r="265" spans="1:32" s="1565" customFormat="1" ht="11.45" customHeight="1">
      <c r="A265" s="914"/>
      <c r="B265" s="1560"/>
      <c r="C265" s="1560"/>
      <c r="D265" s="285"/>
      <c r="K265" s="1084"/>
      <c r="L265" s="1560"/>
      <c r="M265" s="1560"/>
      <c r="N265" s="1084"/>
      <c r="O265" s="1084"/>
      <c r="P265" s="1084"/>
      <c r="Q265" s="1084"/>
      <c r="R265" s="1560"/>
      <c r="S265" s="1084"/>
      <c r="T265" s="1084"/>
      <c r="U265" s="478"/>
      <c r="V265" s="1084"/>
      <c r="W265" s="1084"/>
      <c r="X265" s="1084"/>
      <c r="Y265" s="1084"/>
      <c r="Z265" s="1084"/>
      <c r="AA265" s="1556"/>
      <c r="AB265" s="500"/>
      <c r="AC265" s="500"/>
      <c r="AD265" s="500"/>
      <c r="AE265" s="500"/>
      <c r="AF265" s="1565">
        <v>11</v>
      </c>
    </row>
    <row r="266" spans="1:32" s="1565" customFormat="1" ht="11.45" customHeight="1">
      <c r="A266" s="914"/>
      <c r="B266" s="1560"/>
      <c r="C266" s="1560"/>
      <c r="D266" s="285"/>
      <c r="K266" s="1084"/>
      <c r="L266" s="1560"/>
      <c r="M266" s="1560"/>
      <c r="N266" s="1084"/>
      <c r="O266" s="1084"/>
      <c r="P266" s="1084"/>
      <c r="Q266" s="1084"/>
      <c r="R266" s="1560"/>
      <c r="S266" s="1084"/>
      <c r="T266" s="1084"/>
      <c r="U266" s="478"/>
      <c r="V266" s="1084"/>
      <c r="W266" s="1084"/>
      <c r="X266" s="1084"/>
      <c r="Y266" s="1084"/>
      <c r="Z266" s="1084"/>
      <c r="AA266" s="1556"/>
      <c r="AB266" s="500"/>
      <c r="AC266" s="500"/>
      <c r="AD266" s="500"/>
      <c r="AE266" s="500"/>
      <c r="AF266" s="1565">
        <v>11</v>
      </c>
    </row>
    <row r="267" spans="1:32" s="1565" customFormat="1" ht="11.45" customHeight="1">
      <c r="A267" s="914"/>
      <c r="B267" s="1560"/>
      <c r="C267" s="1560"/>
      <c r="D267" s="285"/>
      <c r="K267" s="1084"/>
      <c r="L267" s="1560"/>
      <c r="M267" s="1560"/>
      <c r="N267" s="1084"/>
      <c r="O267" s="1084"/>
      <c r="P267" s="1084"/>
      <c r="Q267" s="1084"/>
      <c r="R267" s="1560"/>
      <c r="S267" s="1084"/>
      <c r="T267" s="1084"/>
      <c r="U267" s="478"/>
      <c r="V267" s="1084"/>
      <c r="W267" s="1084"/>
      <c r="X267" s="1084"/>
      <c r="Y267" s="1084"/>
      <c r="Z267" s="1084"/>
      <c r="AA267" s="1556"/>
      <c r="AB267" s="500"/>
      <c r="AC267" s="500"/>
      <c r="AD267" s="500"/>
      <c r="AE267" s="500"/>
      <c r="AF267" s="1565">
        <v>11</v>
      </c>
    </row>
    <row r="268" spans="1:32" s="1565" customFormat="1" ht="11.45" customHeight="1">
      <c r="A268" s="914"/>
      <c r="B268" s="1560"/>
      <c r="C268" s="1560"/>
      <c r="D268" s="285"/>
      <c r="K268" s="1084"/>
      <c r="L268" s="1560"/>
      <c r="M268" s="1560"/>
      <c r="N268" s="1084"/>
      <c r="O268" s="1084"/>
      <c r="P268" s="1084"/>
      <c r="Q268" s="1084"/>
      <c r="R268" s="1560"/>
      <c r="S268" s="1084"/>
      <c r="T268" s="1084"/>
      <c r="U268" s="478"/>
      <c r="V268" s="1084"/>
      <c r="W268" s="1084"/>
      <c r="X268" s="1084"/>
      <c r="Y268" s="1084"/>
      <c r="Z268" s="1084"/>
      <c r="AA268" s="1556"/>
      <c r="AB268" s="500"/>
      <c r="AC268" s="500"/>
      <c r="AD268" s="500"/>
      <c r="AE268" s="500"/>
      <c r="AF268" s="1565">
        <v>11</v>
      </c>
    </row>
    <row r="269" spans="1:32" s="1565" customFormat="1" ht="11.45" customHeight="1">
      <c r="A269" s="914"/>
      <c r="B269" s="1560"/>
      <c r="C269" s="1560"/>
      <c r="D269" s="285"/>
      <c r="K269" s="1084"/>
      <c r="L269" s="1560"/>
      <c r="M269" s="1560"/>
      <c r="N269" s="1084"/>
      <c r="O269" s="1084"/>
      <c r="P269" s="1084"/>
      <c r="Q269" s="1084"/>
      <c r="R269" s="1560"/>
      <c r="S269" s="1084"/>
      <c r="T269" s="1084"/>
      <c r="U269" s="478"/>
      <c r="V269" s="1084"/>
      <c r="W269" s="1084"/>
      <c r="X269" s="1084"/>
      <c r="Y269" s="1084"/>
      <c r="Z269" s="1084"/>
      <c r="AA269" s="1556"/>
      <c r="AB269" s="500"/>
      <c r="AC269" s="500"/>
      <c r="AD269" s="500"/>
      <c r="AE269" s="500"/>
      <c r="AF269" s="1565">
        <v>11</v>
      </c>
    </row>
    <row r="270" spans="1:32" s="1565" customFormat="1" ht="11.45" customHeight="1">
      <c r="A270" s="914"/>
      <c r="B270" s="1560"/>
      <c r="C270" s="1560"/>
      <c r="D270" s="285"/>
      <c r="K270" s="1084"/>
      <c r="L270" s="1560"/>
      <c r="M270" s="1560"/>
      <c r="N270" s="1084"/>
      <c r="O270" s="1084"/>
      <c r="P270" s="1084"/>
      <c r="Q270" s="1084"/>
      <c r="R270" s="1560"/>
      <c r="S270" s="1084"/>
      <c r="T270" s="1084"/>
      <c r="U270" s="478"/>
      <c r="V270" s="1084"/>
      <c r="W270" s="1084"/>
      <c r="X270" s="1084"/>
      <c r="Y270" s="1084"/>
      <c r="Z270" s="1084"/>
      <c r="AA270" s="1556"/>
      <c r="AB270" s="500"/>
      <c r="AC270" s="500"/>
      <c r="AD270" s="500"/>
      <c r="AE270" s="500"/>
      <c r="AF270" s="1565">
        <v>11</v>
      </c>
    </row>
    <row r="271" spans="1:32" s="1565" customFormat="1" ht="11.45" customHeight="1">
      <c r="A271" s="914"/>
      <c r="B271" s="1560"/>
      <c r="C271" s="1560"/>
      <c r="D271" s="285"/>
      <c r="K271" s="1084"/>
      <c r="L271" s="1560"/>
      <c r="M271" s="1560"/>
      <c r="N271" s="1084"/>
      <c r="O271" s="1084"/>
      <c r="P271" s="1084"/>
      <c r="Q271" s="1084"/>
      <c r="R271" s="1560"/>
      <c r="S271" s="1084"/>
      <c r="T271" s="1084"/>
      <c r="U271" s="478"/>
      <c r="V271" s="1084"/>
      <c r="W271" s="1084"/>
      <c r="X271" s="1084"/>
      <c r="Y271" s="1084"/>
      <c r="Z271" s="1084"/>
      <c r="AA271" s="1556"/>
      <c r="AB271" s="500"/>
      <c r="AC271" s="500"/>
      <c r="AD271" s="500"/>
      <c r="AE271" s="500"/>
      <c r="AF271" s="1565">
        <v>11</v>
      </c>
    </row>
    <row r="272" spans="1:32" s="1565" customFormat="1" ht="11.45" customHeight="1">
      <c r="A272" s="914"/>
      <c r="B272" s="1560"/>
      <c r="C272" s="1560"/>
      <c r="D272" s="285"/>
      <c r="K272" s="1084"/>
      <c r="L272" s="1560"/>
      <c r="M272" s="1560"/>
      <c r="N272" s="1084"/>
      <c r="O272" s="1084"/>
      <c r="P272" s="1084"/>
      <c r="Q272" s="1084"/>
      <c r="R272" s="1560"/>
      <c r="S272" s="1084"/>
      <c r="T272" s="1084"/>
      <c r="U272" s="478"/>
      <c r="V272" s="1084"/>
      <c r="W272" s="1084"/>
      <c r="X272" s="1084"/>
      <c r="Y272" s="1084"/>
      <c r="Z272" s="1084"/>
      <c r="AA272" s="1556"/>
      <c r="AB272" s="500"/>
      <c r="AC272" s="500"/>
      <c r="AD272" s="500"/>
      <c r="AE272" s="500"/>
      <c r="AF272" s="1565">
        <v>11</v>
      </c>
    </row>
    <row r="273" spans="1:32" s="1565" customFormat="1" ht="11.45" customHeight="1">
      <c r="A273" s="914"/>
      <c r="B273" s="1560"/>
      <c r="C273" s="1560"/>
      <c r="D273" s="285"/>
      <c r="K273" s="1084"/>
      <c r="L273" s="1560"/>
      <c r="M273" s="1560"/>
      <c r="N273" s="1084"/>
      <c r="O273" s="1084"/>
      <c r="P273" s="1084"/>
      <c r="Q273" s="1084"/>
      <c r="R273" s="1560"/>
      <c r="S273" s="1084"/>
      <c r="T273" s="1084"/>
      <c r="U273" s="478"/>
      <c r="V273" s="1084"/>
      <c r="W273" s="1084"/>
      <c r="X273" s="1084"/>
      <c r="Y273" s="1084"/>
      <c r="Z273" s="1084"/>
      <c r="AA273" s="1556"/>
      <c r="AB273" s="500"/>
      <c r="AC273" s="500"/>
      <c r="AD273" s="500"/>
      <c r="AE273" s="500"/>
      <c r="AF273" s="1565">
        <v>11</v>
      </c>
    </row>
    <row r="274" spans="1:32" s="1565" customFormat="1" ht="11.45" customHeight="1">
      <c r="A274" s="914"/>
      <c r="B274" s="1560"/>
      <c r="C274" s="1560"/>
      <c r="D274" s="285"/>
      <c r="K274" s="1084"/>
      <c r="L274" s="1560"/>
      <c r="M274" s="1560"/>
      <c r="N274" s="1084"/>
      <c r="O274" s="1084"/>
      <c r="P274" s="1084"/>
      <c r="Q274" s="1084"/>
      <c r="R274" s="1560"/>
      <c r="S274" s="1084"/>
      <c r="T274" s="1084"/>
      <c r="U274" s="478"/>
      <c r="V274" s="1084"/>
      <c r="W274" s="1084"/>
      <c r="X274" s="1084"/>
      <c r="Y274" s="1084"/>
      <c r="Z274" s="1084"/>
      <c r="AA274" s="1556"/>
      <c r="AB274" s="500"/>
      <c r="AC274" s="500"/>
      <c r="AD274" s="500"/>
      <c r="AE274" s="500"/>
      <c r="AF274" s="1565">
        <v>11</v>
      </c>
    </row>
    <row r="275" spans="1:32" s="1565" customFormat="1" ht="11.45" customHeight="1">
      <c r="A275" s="914"/>
      <c r="B275" s="1560"/>
      <c r="C275" s="1560"/>
      <c r="D275" s="285"/>
      <c r="K275" s="1084"/>
      <c r="L275" s="1560"/>
      <c r="M275" s="1560"/>
      <c r="N275" s="1084"/>
      <c r="O275" s="1084"/>
      <c r="P275" s="1084"/>
      <c r="Q275" s="1084"/>
      <c r="R275" s="1560"/>
      <c r="S275" s="1084"/>
      <c r="T275" s="1084"/>
      <c r="U275" s="478"/>
      <c r="V275" s="1084"/>
      <c r="W275" s="1084"/>
      <c r="X275" s="1084"/>
      <c r="Y275" s="1084"/>
      <c r="Z275" s="1084"/>
      <c r="AA275" s="1556"/>
      <c r="AB275" s="500"/>
      <c r="AC275" s="500"/>
      <c r="AD275" s="500"/>
      <c r="AE275" s="500"/>
      <c r="AF275" s="1565">
        <v>11</v>
      </c>
    </row>
    <row r="276" spans="1:32" s="1565" customFormat="1" ht="11.45" customHeight="1">
      <c r="A276" s="914"/>
      <c r="B276" s="1560"/>
      <c r="C276" s="1560"/>
      <c r="D276" s="285"/>
      <c r="K276" s="1084"/>
      <c r="L276" s="1560"/>
      <c r="M276" s="1560"/>
      <c r="N276" s="1084"/>
      <c r="O276" s="1084"/>
      <c r="P276" s="1084"/>
      <c r="Q276" s="1084"/>
      <c r="R276" s="1560"/>
      <c r="S276" s="1084"/>
      <c r="T276" s="1084"/>
      <c r="U276" s="478"/>
      <c r="V276" s="1084"/>
      <c r="W276" s="1084"/>
      <c r="X276" s="1084"/>
      <c r="Y276" s="1084"/>
      <c r="Z276" s="1084"/>
      <c r="AA276" s="1556"/>
      <c r="AB276" s="500"/>
      <c r="AC276" s="500"/>
      <c r="AD276" s="500"/>
      <c r="AE276" s="500"/>
      <c r="AF276" s="1565">
        <v>11</v>
      </c>
    </row>
    <row r="277" spans="1:32" s="1565" customFormat="1" ht="11.45" customHeight="1">
      <c r="A277" s="914"/>
      <c r="B277" s="1560"/>
      <c r="C277" s="1560"/>
      <c r="D277" s="285"/>
      <c r="K277" s="1084"/>
      <c r="L277" s="1560"/>
      <c r="M277" s="1560"/>
      <c r="N277" s="1084"/>
      <c r="O277" s="1084"/>
      <c r="P277" s="1084"/>
      <c r="Q277" s="1084"/>
      <c r="R277" s="1560"/>
      <c r="S277" s="1084"/>
      <c r="T277" s="1084"/>
      <c r="U277" s="478"/>
      <c r="V277" s="1084"/>
      <c r="W277" s="1084"/>
      <c r="X277" s="1084"/>
      <c r="Y277" s="1084"/>
      <c r="Z277" s="1084"/>
      <c r="AA277" s="1556"/>
      <c r="AB277" s="500"/>
      <c r="AC277" s="500"/>
      <c r="AD277" s="500"/>
      <c r="AE277" s="500"/>
      <c r="AF277" s="1565">
        <v>11</v>
      </c>
    </row>
    <row r="278" spans="1:32" s="1565" customFormat="1" ht="11.45" customHeight="1">
      <c r="A278" s="914"/>
      <c r="B278" s="1560"/>
      <c r="C278" s="1560"/>
      <c r="D278" s="285"/>
      <c r="K278" s="1084"/>
      <c r="L278" s="1560"/>
      <c r="M278" s="1560"/>
      <c r="N278" s="1084"/>
      <c r="O278" s="1084"/>
      <c r="P278" s="1084"/>
      <c r="Q278" s="1084"/>
      <c r="R278" s="1560"/>
      <c r="S278" s="1084"/>
      <c r="T278" s="1084"/>
      <c r="U278" s="478"/>
      <c r="V278" s="1084"/>
      <c r="W278" s="1084"/>
      <c r="X278" s="1084"/>
      <c r="Y278" s="1084"/>
      <c r="Z278" s="1084"/>
      <c r="AA278" s="1556"/>
      <c r="AB278" s="500"/>
      <c r="AC278" s="500"/>
      <c r="AD278" s="500"/>
      <c r="AE278" s="500"/>
      <c r="AF278" s="1565">
        <v>11</v>
      </c>
    </row>
    <row r="279" spans="1:32" s="1565" customFormat="1" ht="11.45" customHeight="1">
      <c r="A279" s="914"/>
      <c r="B279" s="1560"/>
      <c r="C279" s="1560"/>
      <c r="D279" s="285"/>
      <c r="K279" s="1084"/>
      <c r="L279" s="1560"/>
      <c r="M279" s="1560"/>
      <c r="N279" s="1084"/>
      <c r="O279" s="1084"/>
      <c r="P279" s="1084"/>
      <c r="Q279" s="1084"/>
      <c r="R279" s="1560"/>
      <c r="S279" s="1084"/>
      <c r="T279" s="1084"/>
      <c r="U279" s="478"/>
      <c r="V279" s="1084"/>
      <c r="W279" s="1084"/>
      <c r="X279" s="1084"/>
      <c r="Y279" s="1084"/>
      <c r="Z279" s="1084"/>
      <c r="AA279" s="1556"/>
      <c r="AB279" s="500"/>
      <c r="AC279" s="500"/>
      <c r="AD279" s="500"/>
      <c r="AE279" s="500"/>
      <c r="AF279" s="1565">
        <v>11</v>
      </c>
    </row>
    <row r="280" spans="1:32" s="1565" customFormat="1" ht="11.45" customHeight="1">
      <c r="A280" s="914"/>
      <c r="B280" s="1560"/>
      <c r="C280" s="1560"/>
      <c r="D280" s="285"/>
      <c r="K280" s="1084"/>
      <c r="L280" s="1560"/>
      <c r="M280" s="1560"/>
      <c r="N280" s="1084"/>
      <c r="O280" s="1084"/>
      <c r="P280" s="1084"/>
      <c r="Q280" s="1084"/>
      <c r="R280" s="1560"/>
      <c r="S280" s="1084"/>
      <c r="T280" s="1084"/>
      <c r="U280" s="478"/>
      <c r="V280" s="1084"/>
      <c r="W280" s="1084"/>
      <c r="X280" s="1084"/>
      <c r="Y280" s="1084"/>
      <c r="Z280" s="1084"/>
      <c r="AA280" s="1556"/>
      <c r="AB280" s="500"/>
      <c r="AC280" s="500"/>
      <c r="AD280" s="500"/>
      <c r="AE280" s="500"/>
      <c r="AF280" s="1565">
        <v>11</v>
      </c>
    </row>
    <row r="281" spans="1:32" s="1565" customFormat="1" ht="11.45" customHeight="1">
      <c r="A281" s="914"/>
      <c r="B281" s="1560"/>
      <c r="C281" s="1560"/>
      <c r="D281" s="285"/>
      <c r="K281" s="1084"/>
      <c r="L281" s="1560"/>
      <c r="M281" s="1560"/>
      <c r="N281" s="1084"/>
      <c r="O281" s="1084"/>
      <c r="P281" s="1084"/>
      <c r="Q281" s="1084"/>
      <c r="R281" s="1560"/>
      <c r="S281" s="1084"/>
      <c r="T281" s="1084"/>
      <c r="U281" s="478"/>
      <c r="V281" s="1084"/>
      <c r="W281" s="1084"/>
      <c r="X281" s="1084"/>
      <c r="Y281" s="1084"/>
      <c r="Z281" s="1084"/>
      <c r="AA281" s="1556"/>
      <c r="AB281" s="500"/>
      <c r="AC281" s="500"/>
      <c r="AD281" s="500"/>
      <c r="AE281" s="500"/>
      <c r="AF281" s="1565">
        <v>11</v>
      </c>
    </row>
    <row r="282" spans="1:32" s="1565" customFormat="1" ht="11.45" customHeight="1">
      <c r="A282" s="914"/>
      <c r="B282" s="1560"/>
      <c r="C282" s="1560"/>
      <c r="D282" s="285"/>
      <c r="K282" s="1084"/>
      <c r="L282" s="1560"/>
      <c r="M282" s="1560"/>
      <c r="N282" s="1084"/>
      <c r="O282" s="1084"/>
      <c r="P282" s="1084"/>
      <c r="Q282" s="1084"/>
      <c r="R282" s="1560"/>
      <c r="S282" s="1084"/>
      <c r="T282" s="1084"/>
      <c r="U282" s="478"/>
      <c r="V282" s="1084"/>
      <c r="W282" s="1084"/>
      <c r="X282" s="1084"/>
      <c r="Y282" s="1084"/>
      <c r="Z282" s="1084"/>
      <c r="AA282" s="1556"/>
      <c r="AB282" s="500"/>
      <c r="AC282" s="500"/>
      <c r="AD282" s="500"/>
      <c r="AE282" s="500"/>
      <c r="AF282" s="1565">
        <v>11</v>
      </c>
    </row>
    <row r="283" spans="1:32" s="1565" customFormat="1" ht="11.45" customHeight="1">
      <c r="A283" s="914"/>
      <c r="B283" s="1560"/>
      <c r="C283" s="1560"/>
      <c r="D283" s="285"/>
      <c r="K283" s="1084"/>
      <c r="L283" s="1560"/>
      <c r="M283" s="1560"/>
      <c r="N283" s="1084"/>
      <c r="O283" s="1084"/>
      <c r="P283" s="1084"/>
      <c r="Q283" s="1084"/>
      <c r="R283" s="1560"/>
      <c r="S283" s="1084"/>
      <c r="T283" s="1084"/>
      <c r="U283" s="478"/>
      <c r="V283" s="1084"/>
      <c r="W283" s="1084"/>
      <c r="X283" s="1084"/>
      <c r="Y283" s="1084"/>
      <c r="Z283" s="1084"/>
      <c r="AA283" s="1556"/>
      <c r="AB283" s="500"/>
      <c r="AC283" s="500"/>
      <c r="AD283" s="500"/>
      <c r="AE283" s="500"/>
      <c r="AF283" s="1565">
        <v>11</v>
      </c>
    </row>
    <row r="284" spans="1:32" s="1565" customFormat="1" ht="11.45" customHeight="1">
      <c r="A284" s="914"/>
      <c r="B284" s="1560"/>
      <c r="C284" s="1560"/>
      <c r="D284" s="285"/>
      <c r="K284" s="1084"/>
      <c r="L284" s="1560"/>
      <c r="M284" s="1560"/>
      <c r="N284" s="1084"/>
      <c r="O284" s="1084"/>
      <c r="P284" s="1084"/>
      <c r="Q284" s="1084"/>
      <c r="R284" s="1560"/>
      <c r="S284" s="1084"/>
      <c r="T284" s="1084"/>
      <c r="U284" s="478"/>
      <c r="V284" s="1084"/>
      <c r="W284" s="1084"/>
      <c r="X284" s="1084"/>
      <c r="Y284" s="1084"/>
      <c r="Z284" s="1084"/>
      <c r="AA284" s="1556"/>
      <c r="AB284" s="500"/>
      <c r="AC284" s="500"/>
      <c r="AD284" s="500"/>
      <c r="AE284" s="500"/>
      <c r="AF284" s="1565">
        <v>11</v>
      </c>
    </row>
    <row r="285" spans="1:32" s="1565" customFormat="1" ht="11.45" customHeight="1">
      <c r="A285" s="914"/>
      <c r="B285" s="1560"/>
      <c r="C285" s="1560"/>
      <c r="D285" s="285"/>
      <c r="K285" s="1084"/>
      <c r="L285" s="1560"/>
      <c r="M285" s="1560"/>
      <c r="N285" s="1084"/>
      <c r="O285" s="1084"/>
      <c r="P285" s="1084"/>
      <c r="Q285" s="1084"/>
      <c r="R285" s="1560"/>
      <c r="S285" s="1084"/>
      <c r="T285" s="1084"/>
      <c r="U285" s="478"/>
      <c r="V285" s="1084"/>
      <c r="W285" s="1084"/>
      <c r="X285" s="1084"/>
      <c r="Y285" s="1084"/>
      <c r="Z285" s="1084"/>
      <c r="AA285" s="1556"/>
      <c r="AB285" s="500"/>
      <c r="AC285" s="500"/>
      <c r="AD285" s="500"/>
      <c r="AE285" s="500"/>
      <c r="AF285" s="1565">
        <v>11</v>
      </c>
    </row>
    <row r="286" spans="1:32" s="1565" customFormat="1" ht="11.45" customHeight="1">
      <c r="A286" s="914"/>
      <c r="B286" s="1560"/>
      <c r="C286" s="1560"/>
      <c r="D286" s="285"/>
      <c r="K286" s="1084"/>
      <c r="L286" s="1560"/>
      <c r="M286" s="1560"/>
      <c r="N286" s="1084"/>
      <c r="O286" s="1084"/>
      <c r="P286" s="1084"/>
      <c r="Q286" s="1084"/>
      <c r="R286" s="1560"/>
      <c r="S286" s="1084"/>
      <c r="T286" s="1084"/>
      <c r="U286" s="478"/>
      <c r="V286" s="1084"/>
      <c r="W286" s="1084"/>
      <c r="X286" s="1084"/>
      <c r="Y286" s="1084"/>
      <c r="Z286" s="1084"/>
      <c r="AA286" s="1556"/>
      <c r="AB286" s="500"/>
      <c r="AC286" s="500"/>
      <c r="AD286" s="500"/>
      <c r="AE286" s="500"/>
      <c r="AF286" s="1565">
        <v>11</v>
      </c>
    </row>
    <row r="287" spans="1:32" s="1565" customFormat="1" ht="11.45" customHeight="1">
      <c r="A287" s="914"/>
      <c r="B287" s="1560"/>
      <c r="C287" s="1560"/>
      <c r="D287" s="285"/>
      <c r="K287" s="1084"/>
      <c r="L287" s="1560"/>
      <c r="M287" s="1560"/>
      <c r="N287" s="1084"/>
      <c r="O287" s="1084"/>
      <c r="P287" s="1084"/>
      <c r="Q287" s="1084"/>
      <c r="R287" s="1560"/>
      <c r="S287" s="1084"/>
      <c r="T287" s="1084"/>
      <c r="U287" s="478"/>
      <c r="V287" s="1084"/>
      <c r="W287" s="1084"/>
      <c r="X287" s="1084"/>
      <c r="Y287" s="1084"/>
      <c r="Z287" s="1084"/>
      <c r="AA287" s="1556"/>
      <c r="AB287" s="500"/>
      <c r="AC287" s="500"/>
      <c r="AD287" s="500"/>
      <c r="AE287" s="500"/>
      <c r="AF287" s="1565">
        <v>11</v>
      </c>
    </row>
    <row r="288" spans="1:32" s="1565" customFormat="1" ht="11.45" customHeight="1">
      <c r="A288" s="914"/>
      <c r="B288" s="1560"/>
      <c r="C288" s="1560"/>
      <c r="D288" s="285"/>
      <c r="K288" s="1084"/>
      <c r="L288" s="1560"/>
      <c r="M288" s="1560"/>
      <c r="N288" s="1084"/>
      <c r="O288" s="1084"/>
      <c r="P288" s="1084"/>
      <c r="Q288" s="1084"/>
      <c r="R288" s="1560"/>
      <c r="S288" s="1084"/>
      <c r="T288" s="1084"/>
      <c r="U288" s="478"/>
      <c r="V288" s="1084"/>
      <c r="W288" s="1084"/>
      <c r="X288" s="1084"/>
      <c r="Y288" s="1084"/>
      <c r="Z288" s="1084"/>
      <c r="AA288" s="1556"/>
      <c r="AB288" s="500"/>
      <c r="AC288" s="500"/>
      <c r="AD288" s="500"/>
      <c r="AE288" s="500"/>
      <c r="AF288" s="1565">
        <v>11</v>
      </c>
    </row>
    <row r="289" spans="1:32" ht="11.45" customHeight="1">
      <c r="AF289" s="1555">
        <v>11</v>
      </c>
    </row>
    <row r="290" spans="1:32" ht="11.45" customHeight="1">
      <c r="AF290" s="1555">
        <v>11</v>
      </c>
    </row>
    <row r="291" spans="1:32" ht="11.45" customHeight="1">
      <c r="AF291" s="1555">
        <v>11</v>
      </c>
    </row>
    <row r="292" spans="1:32" ht="11.45" customHeight="1">
      <c r="A292" s="917"/>
      <c r="B292" s="1555"/>
      <c r="D292" s="1555"/>
      <c r="K292" s="1555"/>
      <c r="N292" s="1555"/>
      <c r="O292" s="1555"/>
      <c r="P292" s="1555"/>
      <c r="Q292" s="1555"/>
      <c r="S292" s="1555"/>
      <c r="T292" s="1555"/>
      <c r="U292" s="1555"/>
      <c r="V292" s="1555"/>
      <c r="W292" s="1555"/>
      <c r="X292" s="1555"/>
      <c r="Y292" s="1555"/>
      <c r="Z292" s="1555"/>
      <c r="AA292" s="1555"/>
      <c r="AB292" s="1555"/>
      <c r="AC292" s="1555"/>
      <c r="AD292" s="1555"/>
      <c r="AE292" s="1555"/>
      <c r="AF292" s="1555">
        <v>11</v>
      </c>
    </row>
    <row r="293" spans="1:32" ht="11.45" customHeight="1">
      <c r="A293" s="917"/>
      <c r="B293" s="1555"/>
      <c r="D293" s="1555"/>
      <c r="K293" s="1555"/>
      <c r="N293" s="1555"/>
      <c r="O293" s="1555"/>
      <c r="P293" s="1555"/>
      <c r="Q293" s="1555"/>
      <c r="S293" s="1555"/>
      <c r="T293" s="1555"/>
      <c r="U293" s="1555"/>
      <c r="V293" s="1555"/>
      <c r="W293" s="1555"/>
      <c r="X293" s="1555"/>
      <c r="Y293" s="1555"/>
      <c r="Z293" s="1555"/>
      <c r="AA293" s="1555"/>
      <c r="AB293" s="1555"/>
      <c r="AC293" s="1555"/>
      <c r="AD293" s="1555"/>
      <c r="AE293" s="1555"/>
      <c r="AF293" s="1555">
        <v>11</v>
      </c>
    </row>
    <row r="294" spans="1:32" ht="11.45" customHeight="1">
      <c r="A294" s="917"/>
      <c r="B294" s="1555"/>
      <c r="D294" s="1555"/>
      <c r="K294" s="1555"/>
      <c r="N294" s="1555"/>
      <c r="O294" s="1555"/>
      <c r="P294" s="1555"/>
      <c r="Q294" s="1555"/>
      <c r="S294" s="1555"/>
      <c r="T294" s="1555"/>
      <c r="U294" s="1555"/>
      <c r="V294" s="1555"/>
      <c r="W294" s="1555"/>
      <c r="X294" s="1555"/>
      <c r="Y294" s="1555"/>
      <c r="Z294" s="1555"/>
      <c r="AA294" s="1555"/>
      <c r="AB294" s="1555"/>
      <c r="AC294" s="1555"/>
      <c r="AD294" s="1555"/>
      <c r="AE294" s="1555"/>
      <c r="AF294" s="1555">
        <v>11</v>
      </c>
    </row>
    <row r="295" spans="1:32" ht="11.45" customHeight="1">
      <c r="A295" s="917"/>
      <c r="B295" s="1555"/>
      <c r="D295" s="1555"/>
      <c r="K295" s="1555"/>
      <c r="N295" s="1555"/>
      <c r="O295" s="1555"/>
      <c r="P295" s="1555"/>
      <c r="Q295" s="1555"/>
      <c r="S295" s="1555"/>
      <c r="T295" s="1555"/>
      <c r="U295" s="1555"/>
      <c r="V295" s="1555"/>
      <c r="W295" s="1555"/>
      <c r="X295" s="1555"/>
      <c r="Y295" s="1555"/>
      <c r="Z295" s="1555"/>
      <c r="AA295" s="1555"/>
      <c r="AB295" s="1555"/>
      <c r="AC295" s="1555"/>
      <c r="AD295" s="1555"/>
      <c r="AE295" s="1555"/>
      <c r="AF295" s="1555">
        <v>11</v>
      </c>
    </row>
    <row r="296" spans="1:32" ht="11.45" customHeight="1">
      <c r="A296" s="917"/>
      <c r="B296" s="1555"/>
      <c r="D296" s="1555"/>
      <c r="K296" s="1555"/>
      <c r="N296" s="1555"/>
      <c r="O296" s="1555"/>
      <c r="P296" s="1555"/>
      <c r="Q296" s="1555"/>
      <c r="S296" s="1555"/>
      <c r="T296" s="1555"/>
      <c r="U296" s="1555"/>
      <c r="V296" s="1555"/>
      <c r="W296" s="1555"/>
      <c r="X296" s="1555"/>
      <c r="Y296" s="1555"/>
      <c r="Z296" s="1555"/>
      <c r="AA296" s="1555"/>
      <c r="AB296" s="1555"/>
      <c r="AC296" s="1555"/>
      <c r="AD296" s="1555"/>
      <c r="AE296" s="1555"/>
      <c r="AF296" s="1555">
        <v>11</v>
      </c>
    </row>
    <row r="297" spans="1:32" ht="11.45" customHeight="1">
      <c r="A297" s="917"/>
      <c r="B297" s="1555"/>
      <c r="D297" s="1555"/>
      <c r="K297" s="1555"/>
      <c r="N297" s="1555"/>
      <c r="O297" s="1555"/>
      <c r="P297" s="1555"/>
      <c r="Q297" s="1555"/>
      <c r="S297" s="1555"/>
      <c r="T297" s="1555"/>
      <c r="U297" s="1555"/>
      <c r="V297" s="1555"/>
      <c r="W297" s="1555"/>
      <c r="X297" s="1555"/>
      <c r="Y297" s="1555"/>
      <c r="Z297" s="1555"/>
      <c r="AA297" s="1555"/>
      <c r="AB297" s="1555"/>
      <c r="AC297" s="1555"/>
      <c r="AD297" s="1555"/>
      <c r="AE297" s="1555"/>
      <c r="AF297" s="1555">
        <v>11</v>
      </c>
    </row>
    <row r="298" spans="1:32" ht="11.45" customHeight="1">
      <c r="A298" s="917"/>
      <c r="B298" s="1555"/>
      <c r="D298" s="1555"/>
      <c r="K298" s="1555"/>
      <c r="N298" s="1555"/>
      <c r="O298" s="1555"/>
      <c r="P298" s="1555"/>
      <c r="Q298" s="1555"/>
      <c r="S298" s="1555"/>
      <c r="T298" s="1555"/>
      <c r="U298" s="1555"/>
      <c r="V298" s="1555"/>
      <c r="W298" s="1555"/>
      <c r="X298" s="1555"/>
      <c r="Y298" s="1555"/>
      <c r="Z298" s="1555"/>
      <c r="AA298" s="1555"/>
      <c r="AB298" s="1555"/>
      <c r="AC298" s="1555"/>
      <c r="AD298" s="1555"/>
      <c r="AE298" s="1555"/>
      <c r="AF298" s="1555">
        <v>11</v>
      </c>
    </row>
    <row r="299" spans="1:32" ht="11.45" customHeight="1">
      <c r="A299" s="917"/>
      <c r="B299" s="1555"/>
      <c r="D299" s="1555"/>
      <c r="K299" s="1555"/>
      <c r="N299" s="1555"/>
      <c r="O299" s="1555"/>
      <c r="P299" s="1555"/>
      <c r="Q299" s="1555"/>
      <c r="S299" s="1555"/>
      <c r="T299" s="1555"/>
      <c r="U299" s="1555"/>
      <c r="V299" s="1555"/>
      <c r="W299" s="1555"/>
      <c r="X299" s="1555"/>
      <c r="Y299" s="1555"/>
      <c r="Z299" s="1555"/>
      <c r="AA299" s="1555"/>
      <c r="AB299" s="1555"/>
      <c r="AC299" s="1555"/>
      <c r="AD299" s="1555"/>
      <c r="AE299" s="1555"/>
      <c r="AF299" s="1555">
        <v>11</v>
      </c>
    </row>
    <row r="300" spans="1:32" ht="11.45" customHeight="1">
      <c r="A300" s="917"/>
      <c r="B300" s="1555"/>
      <c r="D300" s="1555"/>
      <c r="K300" s="1555"/>
      <c r="N300" s="1555"/>
      <c r="O300" s="1555"/>
      <c r="P300" s="1555"/>
      <c r="Q300" s="1555"/>
      <c r="S300" s="1555"/>
      <c r="T300" s="1555"/>
      <c r="U300" s="1555"/>
      <c r="V300" s="1555"/>
      <c r="W300" s="1555"/>
      <c r="X300" s="1555"/>
      <c r="Y300" s="1555"/>
      <c r="Z300" s="1555"/>
      <c r="AA300" s="1555"/>
      <c r="AB300" s="1555"/>
      <c r="AC300" s="1555"/>
      <c r="AD300" s="1555"/>
      <c r="AE300" s="1555"/>
      <c r="AF300" s="1555">
        <v>11</v>
      </c>
    </row>
    <row r="301" spans="1:32" ht="11.45" customHeight="1">
      <c r="A301" s="917"/>
      <c r="B301" s="1555"/>
      <c r="D301" s="1555"/>
      <c r="K301" s="1555"/>
      <c r="N301" s="1555"/>
      <c r="O301" s="1555"/>
      <c r="P301" s="1555"/>
      <c r="Q301" s="1555"/>
      <c r="S301" s="1555"/>
      <c r="T301" s="1555"/>
      <c r="U301" s="1555"/>
      <c r="V301" s="1555"/>
      <c r="W301" s="1555"/>
      <c r="X301" s="1555"/>
      <c r="Y301" s="1555"/>
      <c r="Z301" s="1555"/>
      <c r="AA301" s="1555"/>
      <c r="AB301" s="1555"/>
      <c r="AC301" s="1555"/>
      <c r="AD301" s="1555"/>
      <c r="AE301" s="1555"/>
      <c r="AF301" s="1555">
        <v>11</v>
      </c>
    </row>
    <row r="302" spans="1:32" ht="11.45" customHeight="1">
      <c r="A302" s="917"/>
      <c r="B302" s="1555"/>
      <c r="D302" s="1555"/>
      <c r="K302" s="1555"/>
      <c r="N302" s="1555"/>
      <c r="O302" s="1555"/>
      <c r="P302" s="1555"/>
      <c r="Q302" s="1555"/>
      <c r="S302" s="1555"/>
      <c r="T302" s="1555"/>
      <c r="U302" s="1555"/>
      <c r="V302" s="1555"/>
      <c r="W302" s="1555"/>
      <c r="X302" s="1555"/>
      <c r="Y302" s="1555"/>
      <c r="Z302" s="1555"/>
      <c r="AA302" s="1555"/>
      <c r="AB302" s="1555"/>
      <c r="AC302" s="1555"/>
      <c r="AD302" s="1555"/>
      <c r="AE302" s="1555"/>
      <c r="AF302" s="1555">
        <v>11</v>
      </c>
    </row>
    <row r="303" spans="1:32" ht="11.25" hidden="1" customHeight="1">
      <c r="A303" s="914" t="s">
        <v>69</v>
      </c>
      <c r="B303" s="1084">
        <v>0</v>
      </c>
      <c r="C303" s="1560">
        <v>0</v>
      </c>
      <c r="D303" s="1559">
        <v>3</v>
      </c>
      <c r="E303" s="1555">
        <v>7</v>
      </c>
      <c r="F303" s="1555">
        <v>54</v>
      </c>
      <c r="G303" s="1555">
        <v>10</v>
      </c>
      <c r="H303" s="1555">
        <v>0</v>
      </c>
      <c r="I303" s="1555">
        <v>40</v>
      </c>
      <c r="J303" s="1555">
        <v>102</v>
      </c>
      <c r="K303" s="1084">
        <v>9</v>
      </c>
      <c r="L303" s="1560">
        <v>5</v>
      </c>
      <c r="M303" s="1560">
        <v>3</v>
      </c>
      <c r="N303" s="1084">
        <v>3</v>
      </c>
      <c r="O303" s="1084">
        <v>3</v>
      </c>
      <c r="P303" s="1084">
        <v>3</v>
      </c>
      <c r="Q303" s="1084">
        <v>3</v>
      </c>
      <c r="R303" s="1560">
        <v>10</v>
      </c>
      <c r="S303" s="1084">
        <v>34</v>
      </c>
      <c r="T303" s="1084">
        <v>9</v>
      </c>
      <c r="U303" s="478">
        <v>8</v>
      </c>
      <c r="V303" s="1084">
        <v>8</v>
      </c>
      <c r="W303" s="1084">
        <v>8</v>
      </c>
      <c r="X303" s="1084">
        <v>8</v>
      </c>
      <c r="Y303" s="1084">
        <v>8</v>
      </c>
      <c r="Z303" s="1084">
        <v>8</v>
      </c>
      <c r="AA303" s="1556">
        <v>8</v>
      </c>
      <c r="AB303" s="1556">
        <v>8</v>
      </c>
      <c r="AC303" s="1556">
        <v>8</v>
      </c>
      <c r="AD303" s="1556">
        <v>8</v>
      </c>
      <c r="AE303" s="1556">
        <v>8</v>
      </c>
      <c r="AF303" s="1555">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0" hidden="1" customWidth="1"/>
    <col min="2" max="2" width="17" style="1556" hidden="1" customWidth="1"/>
    <col min="3" max="3" width="3" style="1559" customWidth="1"/>
    <col min="4" max="4" width="1.85546875" style="1559" hidden="1" customWidth="1"/>
    <col min="5" max="6" width="7" style="1559" customWidth="1"/>
    <col min="7" max="7" width="29" style="1559" customWidth="1"/>
    <col min="8" max="8" width="3.7109375" style="1559" customWidth="1"/>
    <col min="9" max="9" width="5" style="1559" customWidth="1"/>
    <col min="10" max="11" width="24" style="1559" customWidth="1"/>
    <col min="12" max="12" width="3" style="1559" customWidth="1"/>
    <col min="13" max="13" width="6" style="1559" customWidth="1"/>
    <col min="14" max="14" width="25" style="1559" customWidth="1"/>
    <col min="15" max="18" width="18" style="1559" customWidth="1"/>
    <col min="19" max="19" width="93" style="1559" customWidth="1"/>
    <col min="20" max="20" width="10" style="1559" customWidth="1"/>
    <col min="21" max="21" width="10" style="1566" customWidth="1"/>
    <col min="22" max="22" width="11" style="1566" customWidth="1"/>
    <col min="23" max="27" width="10" style="1556" customWidth="1"/>
    <col min="28" max="83" width="8" style="1559" customWidth="1"/>
    <col min="84" max="84" width="9.140625" style="1559" hidden="1"/>
  </cols>
  <sheetData>
    <row r="1" spans="1:84" ht="22.5" hidden="1" customHeight="1">
      <c r="CF1" s="439" t="s">
        <v>1</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984"/>
      <c r="E5" s="4014" t="str">
        <f>FHD20_NAME_FORM</f>
        <v>Форма 11. Информация о расходах на капитальный и текущий ремонт основных средств</v>
      </c>
      <c r="F5" s="4014"/>
      <c r="G5" s="4014"/>
      <c r="H5" s="4014"/>
      <c r="I5" s="4014"/>
      <c r="J5" s="4014"/>
      <c r="K5" s="4014"/>
      <c r="L5" s="547"/>
      <c r="M5" s="547"/>
      <c r="CF5" s="439">
        <v>28</v>
      </c>
    </row>
    <row r="6" spans="1:84" s="1559" customFormat="1" ht="16.899999999999999" customHeight="1">
      <c r="A6" s="544"/>
      <c r="B6" s="691"/>
      <c r="C6" s="443"/>
      <c r="D6" s="985"/>
      <c r="E6" s="3987" t="str">
        <f>IF(org=0,"Не определено",org)</f>
        <v>ООО "Смоленскрегионтеплоэнерго"</v>
      </c>
      <c r="F6" s="3987"/>
      <c r="G6" s="3987"/>
      <c r="H6" s="3987"/>
      <c r="I6" s="3987"/>
      <c r="J6" s="3987"/>
      <c r="K6" s="3987"/>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1565" customFormat="1" ht="4.1500000000000004" customHeight="1">
      <c r="A8" s="555"/>
      <c r="B8" s="500"/>
      <c r="C8" s="285"/>
      <c r="D8" s="285"/>
      <c r="E8" s="285"/>
      <c r="F8" s="285"/>
      <c r="G8" s="902"/>
      <c r="H8" s="902"/>
      <c r="I8" s="902"/>
      <c r="J8" s="902"/>
      <c r="K8" s="945"/>
      <c r="L8" s="945"/>
      <c r="M8" s="945"/>
      <c r="R8" s="946"/>
      <c r="U8" s="545"/>
      <c r="V8" s="545"/>
      <c r="W8" s="556"/>
      <c r="X8" s="500"/>
      <c r="Y8" s="500"/>
      <c r="Z8" s="500"/>
      <c r="AA8" s="500"/>
      <c r="CF8" s="430">
        <v>4</v>
      </c>
    </row>
    <row r="9" spans="1:84" ht="19.899999999999999" customHeight="1">
      <c r="D9" s="224"/>
      <c r="E9" s="3870" t="s">
        <v>508</v>
      </c>
      <c r="F9" s="3875"/>
      <c r="G9" s="3875"/>
      <c r="H9" s="3875"/>
      <c r="I9" s="3875"/>
      <c r="J9" s="3875"/>
      <c r="K9" s="3875"/>
      <c r="L9" s="3875"/>
      <c r="M9" s="3875"/>
      <c r="N9" s="3875"/>
      <c r="O9" s="3875"/>
      <c r="P9" s="3875"/>
      <c r="Q9" s="3875"/>
      <c r="R9" s="3869"/>
      <c r="S9" s="3889" t="s">
        <v>509</v>
      </c>
      <c r="T9" s="269"/>
      <c r="CF9" s="439">
        <v>19</v>
      </c>
    </row>
    <row r="10" spans="1:84" ht="48.2" customHeight="1">
      <c r="D10" s="485" t="s">
        <v>75</v>
      </c>
      <c r="E10" s="3889" t="s">
        <v>75</v>
      </c>
      <c r="F10" s="3889"/>
      <c r="G10" s="455" t="s">
        <v>510</v>
      </c>
      <c r="H10" s="3889" t="s">
        <v>75</v>
      </c>
      <c r="I10" s="3889"/>
      <c r="J10" s="455" t="s">
        <v>811</v>
      </c>
      <c r="K10" s="455" t="s">
        <v>812</v>
      </c>
      <c r="L10" s="3889" t="s">
        <v>75</v>
      </c>
      <c r="M10" s="3889"/>
      <c r="N10" s="455" t="s">
        <v>813</v>
      </c>
      <c r="O10" s="455" t="s">
        <v>814</v>
      </c>
      <c r="P10" s="455" t="s">
        <v>815</v>
      </c>
      <c r="Q10" s="455" t="s">
        <v>816</v>
      </c>
      <c r="R10" s="455" t="s">
        <v>817</v>
      </c>
      <c r="S10" s="3889"/>
      <c r="T10" s="269"/>
      <c r="CF10" s="439">
        <v>46</v>
      </c>
    </row>
    <row r="11" spans="1:84" s="1566" customFormat="1" ht="15" hidden="1" customHeight="1">
      <c r="A11" s="979"/>
      <c r="D11" s="952" t="s">
        <v>184</v>
      </c>
      <c r="E11" s="952"/>
      <c r="F11" s="952" t="s">
        <v>89</v>
      </c>
      <c r="G11" s="952" t="s">
        <v>77</v>
      </c>
      <c r="H11" s="952"/>
      <c r="I11" s="952" t="s">
        <v>78</v>
      </c>
      <c r="J11" s="952" t="s">
        <v>115</v>
      </c>
      <c r="K11" s="952" t="s">
        <v>79</v>
      </c>
      <c r="L11" s="952"/>
      <c r="M11" s="952" t="s">
        <v>80</v>
      </c>
      <c r="N11" s="952" t="s">
        <v>134</v>
      </c>
      <c r="O11" s="952" t="s">
        <v>136</v>
      </c>
      <c r="P11" s="952" t="s">
        <v>141</v>
      </c>
      <c r="Q11" s="952" t="s">
        <v>146</v>
      </c>
      <c r="R11" s="952" t="s">
        <v>151</v>
      </c>
      <c r="S11" s="952" t="s">
        <v>153</v>
      </c>
      <c r="U11" s="545"/>
      <c r="V11" s="545"/>
      <c r="W11" s="545"/>
      <c r="CF11" s="445">
        <v>0</v>
      </c>
    </row>
    <row r="12" spans="1:84" s="1559" customFormat="1" ht="1.1499999999999999" customHeight="1">
      <c r="A12" s="549"/>
      <c r="B12" s="296"/>
      <c r="D12" s="482"/>
      <c r="E12" s="281"/>
      <c r="F12" s="281"/>
      <c r="Q12" s="550"/>
      <c r="R12" s="551"/>
      <c r="T12" s="552"/>
      <c r="U12" s="553"/>
      <c r="V12" s="553"/>
      <c r="W12" s="554"/>
      <c r="X12" s="296"/>
      <c r="Y12" s="296"/>
      <c r="Z12" s="296"/>
      <c r="AA12" s="296"/>
      <c r="CF12" s="443">
        <v>1</v>
      </c>
    </row>
    <row r="13" spans="1:84" s="1565" customFormat="1" ht="1.1499999999999999" customHeight="1">
      <c r="A13" s="555"/>
      <c r="B13" s="500"/>
      <c r="D13" s="482" t="s">
        <v>584</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1745" customFormat="1" ht="15" hidden="1" customHeight="1">
      <c r="A14" s="557" t="s">
        <v>189</v>
      </c>
      <c r="B14" s="558"/>
      <c r="C14" s="558"/>
      <c r="D14" s="4124" t="s">
        <v>184</v>
      </c>
      <c r="E14" s="4131" t="s">
        <v>180</v>
      </c>
      <c r="F14" s="4132"/>
      <c r="G14" s="4133"/>
      <c r="H14" s="4127">
        <f>IF(A14="","",INDEX(DIFFERENTIATION_UNMERGE_VD,MATCH(A14,DIFFERENTIATION_ID_DIFF,0)))</f>
        <v>0</v>
      </c>
      <c r="I14" s="4127"/>
      <c r="J14" s="4127"/>
      <c r="K14" s="4127"/>
      <c r="L14" s="4127"/>
      <c r="M14" s="4127"/>
      <c r="N14" s="4127"/>
      <c r="O14" s="4127"/>
      <c r="P14" s="4127"/>
      <c r="Q14" s="4127"/>
      <c r="R14" s="4127"/>
      <c r="S14" s="653"/>
      <c r="T14" s="650"/>
      <c r="U14" s="559"/>
      <c r="V14" s="559"/>
      <c r="W14" s="560"/>
      <c r="X14" s="560"/>
      <c r="Y14" s="560"/>
      <c r="Z14" s="560"/>
      <c r="AA14" s="561"/>
      <c r="AB14" s="562"/>
      <c r="AC14" s="4130"/>
      <c r="AD14" s="563"/>
      <c r="AE14" s="564" t="s">
        <v>15</v>
      </c>
      <c r="AF14" s="564"/>
      <c r="AG14" s="565" t="s">
        <v>818</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1745" customFormat="1" ht="15" hidden="1" customHeight="1">
      <c r="A15" s="557"/>
      <c r="B15" s="558"/>
      <c r="C15" s="558"/>
      <c r="D15" s="4125"/>
      <c r="E15" s="4131" t="s">
        <v>773</v>
      </c>
      <c r="F15" s="4132"/>
      <c r="G15" s="4133"/>
      <c r="H15" s="4127" t="str">
        <f>IF(A14="","",INDEX(DIFFERENTIATION_UNMERGE_AREA,MATCH(A14,DIFFERENTIATION_ID_DIFF,0)))</f>
        <v/>
      </c>
      <c r="I15" s="4127"/>
      <c r="J15" s="4127"/>
      <c r="K15" s="4127"/>
      <c r="L15" s="4127"/>
      <c r="M15" s="4127"/>
      <c r="N15" s="4127"/>
      <c r="O15" s="4127"/>
      <c r="P15" s="4127"/>
      <c r="Q15" s="4127"/>
      <c r="R15" s="4127"/>
      <c r="S15" s="653"/>
      <c r="T15" s="650"/>
      <c r="U15" s="559"/>
      <c r="V15" s="559"/>
      <c r="W15" s="560"/>
      <c r="X15" s="560"/>
      <c r="Y15" s="560"/>
      <c r="Z15" s="560"/>
      <c r="AA15" s="561"/>
      <c r="AB15" s="562"/>
      <c r="AC15" s="4130"/>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1745" customFormat="1" ht="15" hidden="1" customHeight="1">
      <c r="A16" s="557"/>
      <c r="B16" s="558"/>
      <c r="C16" s="558"/>
      <c r="D16" s="4125"/>
      <c r="E16" s="4131" t="s">
        <v>774</v>
      </c>
      <c r="F16" s="4132"/>
      <c r="G16" s="4133"/>
      <c r="H16" s="4127" t="str">
        <f>IF(A14="","",INDEX(DIFFERENTIATION_UNMERGE_SYSTEM,MATCH(A14,DIFFERENTIATION_ID_DIFF,0)))</f>
        <v>без дифференциации</v>
      </c>
      <c r="I16" s="4127"/>
      <c r="J16" s="4127"/>
      <c r="K16" s="4127"/>
      <c r="L16" s="4127"/>
      <c r="M16" s="4127"/>
      <c r="N16" s="4127"/>
      <c r="O16" s="4127"/>
      <c r="P16" s="4127"/>
      <c r="Q16" s="4127"/>
      <c r="R16" s="4127"/>
      <c r="S16" s="653"/>
      <c r="T16" s="650"/>
      <c r="U16" s="559"/>
      <c r="V16" s="559"/>
      <c r="W16" s="560"/>
      <c r="X16" s="560"/>
      <c r="Y16" s="560"/>
      <c r="Z16" s="560"/>
      <c r="AA16" s="561"/>
      <c r="AB16" s="562"/>
      <c r="AC16" s="4130"/>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1745" customFormat="1" ht="22.5" hidden="1" customHeight="1">
      <c r="A17" s="567"/>
      <c r="B17" s="351"/>
      <c r="C17" s="346"/>
      <c r="D17" s="4125"/>
      <c r="E17" s="4129" t="s">
        <v>819</v>
      </c>
      <c r="F17" s="4129"/>
      <c r="G17" s="4129"/>
      <c r="H17" s="4129"/>
      <c r="I17" s="4129"/>
      <c r="J17" s="4129"/>
      <c r="K17" s="4129"/>
      <c r="L17" s="4129"/>
      <c r="M17" s="4129"/>
      <c r="N17" s="4129"/>
      <c r="O17" s="4129"/>
      <c r="P17" s="4129"/>
      <c r="Q17" s="492">
        <f>SUMIF(T18:T19,"i",Q18:Q19)</f>
        <v>0</v>
      </c>
      <c r="R17" s="944"/>
      <c r="S17" s="824" t="s">
        <v>820</v>
      </c>
      <c r="T17" s="651" t="s">
        <v>821</v>
      </c>
      <c r="U17" s="4037">
        <v>1</v>
      </c>
      <c r="V17" s="4037" t="str">
        <f>INDEX(B_FHD_FLAG_INDEX_1,1,MATCH(A14,B_FHD_FLAG_DIFFERENTIATION,0))</f>
        <v>отсутствует</v>
      </c>
      <c r="W17" s="351"/>
      <c r="X17" s="351"/>
      <c r="Y17" s="351"/>
      <c r="Z17" s="351"/>
      <c r="AA17" s="445"/>
      <c r="AB17" s="351"/>
      <c r="AC17" s="4130"/>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1745" customFormat="1" ht="11.25" hidden="1" customHeight="1">
      <c r="A18" s="568"/>
      <c r="B18" s="445"/>
      <c r="C18" s="445"/>
      <c r="D18" s="4125"/>
      <c r="E18" s="569"/>
      <c r="F18" s="569">
        <v>0</v>
      </c>
      <c r="G18" s="569"/>
      <c r="H18" s="569"/>
      <c r="I18" s="569"/>
      <c r="J18" s="569"/>
      <c r="K18" s="569"/>
      <c r="L18" s="569"/>
      <c r="M18" s="569"/>
      <c r="N18" s="569"/>
      <c r="O18" s="569"/>
      <c r="P18" s="569"/>
      <c r="Q18" s="569"/>
      <c r="R18" s="569"/>
      <c r="S18" s="570"/>
      <c r="T18" s="652"/>
      <c r="U18" s="4037"/>
      <c r="V18" s="4037"/>
      <c r="W18" s="445"/>
      <c r="X18" s="445"/>
      <c r="Y18" s="445"/>
      <c r="Z18" s="445"/>
      <c r="AA18" s="445"/>
      <c r="AB18" s="351"/>
      <c r="AC18" s="4130"/>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1745" customFormat="1" ht="11.25" hidden="1" customHeight="1">
      <c r="A19" s="567"/>
      <c r="B19" s="351"/>
      <c r="C19" s="346"/>
      <c r="D19" s="4125"/>
      <c r="E19" s="583" t="s">
        <v>15</v>
      </c>
      <c r="F19" s="584" t="s">
        <v>15</v>
      </c>
      <c r="G19" s="584" t="s">
        <v>15</v>
      </c>
      <c r="H19" s="585" t="s">
        <v>15</v>
      </c>
      <c r="I19" s="585"/>
      <c r="J19" s="585"/>
      <c r="K19" s="585"/>
      <c r="L19" s="585"/>
      <c r="M19" s="585"/>
      <c r="N19" s="585"/>
      <c r="O19" s="585"/>
      <c r="P19" s="585"/>
      <c r="Q19" s="585"/>
      <c r="R19" s="586"/>
      <c r="S19" s="947"/>
      <c r="T19" s="652"/>
      <c r="U19" s="4037"/>
      <c r="V19" s="4037"/>
      <c r="W19" s="351"/>
      <c r="X19" s="351"/>
      <c r="Y19" s="351"/>
      <c r="Z19" s="351"/>
      <c r="AA19" s="445"/>
      <c r="AB19" s="351"/>
      <c r="AC19" s="4130"/>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1745" customFormat="1" ht="22.5" hidden="1" customHeight="1">
      <c r="A20" s="567"/>
      <c r="B20" s="351"/>
      <c r="C20" s="346"/>
      <c r="D20" s="4125"/>
      <c r="E20" s="4129" t="s">
        <v>822</v>
      </c>
      <c r="F20" s="4129"/>
      <c r="G20" s="4129"/>
      <c r="H20" s="4129"/>
      <c r="I20" s="4129"/>
      <c r="J20" s="4129"/>
      <c r="K20" s="4129"/>
      <c r="L20" s="4129"/>
      <c r="M20" s="4129"/>
      <c r="N20" s="4129"/>
      <c r="O20" s="4129"/>
      <c r="P20" s="4129"/>
      <c r="Q20" s="492">
        <f>SUMIF(T21:T22,"i",Q21:Q22)</f>
        <v>0</v>
      </c>
      <c r="R20" s="944"/>
      <c r="S20" s="643" t="s">
        <v>823</v>
      </c>
      <c r="T20" s="651" t="s">
        <v>821</v>
      </c>
      <c r="U20" s="4037">
        <v>2</v>
      </c>
      <c r="V20" s="4037"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1745" customFormat="1" ht="11.25" hidden="1" customHeight="1">
      <c r="A21" s="642"/>
      <c r="B21" s="445"/>
      <c r="C21" s="445"/>
      <c r="D21" s="4125"/>
      <c r="E21" s="569"/>
      <c r="F21" s="569">
        <v>0</v>
      </c>
      <c r="G21" s="569"/>
      <c r="H21" s="569"/>
      <c r="I21" s="569"/>
      <c r="J21" s="569"/>
      <c r="K21" s="569"/>
      <c r="L21" s="569"/>
      <c r="M21" s="569"/>
      <c r="N21" s="569"/>
      <c r="O21" s="569"/>
      <c r="P21" s="569"/>
      <c r="Q21" s="569"/>
      <c r="R21" s="569"/>
      <c r="S21" s="570"/>
      <c r="T21" s="652"/>
      <c r="U21" s="4037"/>
      <c r="V21" s="4037"/>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1745" customFormat="1" ht="11.25" hidden="1" customHeight="1">
      <c r="A22" s="567"/>
      <c r="B22" s="351"/>
      <c r="C22" s="346"/>
      <c r="D22" s="4126"/>
      <c r="E22" s="583" t="s">
        <v>15</v>
      </c>
      <c r="F22" s="584" t="s">
        <v>15</v>
      </c>
      <c r="G22" s="584" t="s">
        <v>15</v>
      </c>
      <c r="H22" s="585" t="s">
        <v>15</v>
      </c>
      <c r="I22" s="585"/>
      <c r="J22" s="585"/>
      <c r="K22" s="585"/>
      <c r="L22" s="585"/>
      <c r="M22" s="585"/>
      <c r="N22" s="585"/>
      <c r="O22" s="585"/>
      <c r="P22" s="585"/>
      <c r="Q22" s="585"/>
      <c r="R22" s="586"/>
      <c r="S22" s="947"/>
      <c r="T22" s="652"/>
      <c r="U22" s="4037"/>
      <c r="V22" s="4037"/>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74"/>
      <c r="E23" s="974"/>
      <c r="F23" s="974"/>
      <c r="G23" s="974"/>
      <c r="H23" s="974"/>
      <c r="I23" s="974"/>
      <c r="J23" s="974"/>
      <c r="K23" s="974"/>
      <c r="L23" s="974"/>
      <c r="M23" s="974"/>
      <c r="N23" s="974"/>
      <c r="O23" s="974"/>
      <c r="P23" s="974"/>
      <c r="Q23" s="974"/>
      <c r="R23" s="974"/>
      <c r="S23" s="974"/>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4128"/>
      <c r="F27" s="4128"/>
      <c r="G27" s="4128"/>
      <c r="H27" s="4128"/>
      <c r="I27" s="4128"/>
      <c r="J27" s="4128"/>
      <c r="K27" s="4128"/>
      <c r="L27" s="4128"/>
      <c r="M27" s="4128"/>
      <c r="N27" s="4128"/>
      <c r="O27" s="4128"/>
      <c r="P27" s="4128"/>
      <c r="Q27" s="4128"/>
      <c r="R27" s="4128"/>
      <c r="CF27" s="439">
        <v>11</v>
      </c>
    </row>
    <row r="28" spans="1:84" ht="11.45" customHeight="1">
      <c r="F28" s="690"/>
      <c r="G28" s="690"/>
      <c r="CF28" s="439">
        <v>11</v>
      </c>
    </row>
    <row r="29" spans="1:84" ht="11.25" hidden="1" customHeight="1">
      <c r="A29" s="544" t="s">
        <v>69</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4" hidden="1" customWidth="1"/>
    <col min="6" max="6" width="16.85546875" style="1290" hidden="1" customWidth="1"/>
    <col min="7" max="7" width="5.5703125" style="1566" hidden="1" customWidth="1"/>
    <col min="8" max="8" width="3" style="1559" customWidth="1"/>
    <col min="9" max="9" width="7" style="1559" customWidth="1"/>
    <col min="10" max="10" width="56" style="1559" customWidth="1"/>
    <col min="11" max="11" width="10" style="1559" customWidth="1"/>
    <col min="12" max="12" width="40.5703125" style="1559" hidden="1" customWidth="1"/>
    <col min="13" max="13" width="40.7109375" style="1559" customWidth="1"/>
    <col min="14" max="14" width="9.7109375" style="1290" hidden="1" customWidth="1"/>
    <col min="15" max="15" width="102" style="1559" customWidth="1"/>
    <col min="16" max="16" width="9" style="1290" customWidth="1"/>
    <col min="17" max="17" width="5" style="1566" customWidth="1"/>
    <col min="18" max="18" width="3" style="1566" customWidth="1"/>
    <col min="19" max="22" width="3" style="1290" customWidth="1"/>
    <col min="23" max="23" width="10" style="1566" customWidth="1"/>
    <col min="24" max="24" width="34" style="1290" customWidth="1"/>
    <col min="25" max="25" width="9" style="1290" customWidth="1"/>
    <col min="26" max="26" width="8" style="670" customWidth="1"/>
    <col min="27" max="31" width="8" style="1290" customWidth="1"/>
    <col min="32" max="36" width="8" style="1556" customWidth="1"/>
    <col min="37" max="37" width="5.42578125" style="1559" hidden="1" customWidth="1"/>
  </cols>
  <sheetData>
    <row r="1" spans="1:37" s="1290" customFormat="1" ht="33.75" hidden="1" customHeight="1">
      <c r="A1" s="914"/>
      <c r="B1" s="914"/>
      <c r="C1" s="914"/>
      <c r="D1" s="914"/>
      <c r="E1" s="914"/>
      <c r="G1" s="1560"/>
      <c r="H1" s="806"/>
      <c r="L1" s="1290">
        <v>4</v>
      </c>
      <c r="M1" s="1290">
        <v>4</v>
      </c>
      <c r="Q1" s="1560"/>
      <c r="R1" s="1560"/>
      <c r="W1" s="1560"/>
      <c r="AK1" s="1290" t="s">
        <v>1</v>
      </c>
    </row>
    <row r="2" spans="1:37" s="1290" customFormat="1" ht="78.75" hidden="1" customHeight="1">
      <c r="A2" s="914"/>
      <c r="B2" s="1945" t="s">
        <v>824</v>
      </c>
      <c r="C2" s="1945" t="s">
        <v>825</v>
      </c>
      <c r="D2" s="1944" t="s">
        <v>826</v>
      </c>
      <c r="E2" s="1948" t="e">
        <f>RIGHT(I2,LEN(I2)-SEARCH("#",SUBSTITUTE(I2,".","#",LEN(I2)-LEN(SUBSTITUTE(I2,".","")))))</f>
        <v>#VALUE!</v>
      </c>
      <c r="F2" s="1950">
        <f>J2</f>
        <v>0</v>
      </c>
      <c r="G2" s="1560"/>
      <c r="H2" s="1951"/>
      <c r="I2" s="1941"/>
      <c r="J2" s="474"/>
      <c r="K2" s="1911" t="s">
        <v>765</v>
      </c>
      <c r="L2" s="685"/>
      <c r="M2" s="685"/>
      <c r="N2" s="477"/>
      <c r="O2" s="1449" t="s">
        <v>766</v>
      </c>
      <c r="P2" s="477"/>
      <c r="Q2" s="1560"/>
      <c r="R2" s="1560"/>
      <c r="W2" s="1560"/>
      <c r="Z2" s="478"/>
      <c r="AF2" s="1556"/>
      <c r="AG2" s="1556"/>
      <c r="AH2" s="1556"/>
      <c r="AI2" s="1556"/>
      <c r="AJ2" s="1556"/>
      <c r="AK2" s="1290">
        <v>0</v>
      </c>
    </row>
    <row r="3" spans="1:37" ht="11.25" hidden="1" customHeight="1">
      <c r="E3" s="1943" t="s">
        <v>827</v>
      </c>
      <c r="L3" s="1555">
        <f>0</f>
        <v>0</v>
      </c>
      <c r="M3" s="1555">
        <v>1</v>
      </c>
      <c r="AK3" s="1555">
        <v>0</v>
      </c>
    </row>
    <row r="4" spans="1:37" s="1556" customFormat="1" ht="11.25" hidden="1" customHeight="1">
      <c r="A4" s="914"/>
      <c r="B4" s="914"/>
      <c r="C4" s="914"/>
      <c r="E4" s="914"/>
      <c r="F4" s="1290"/>
      <c r="G4" s="1560"/>
      <c r="H4" s="554"/>
      <c r="N4" s="1290"/>
      <c r="O4" s="1556">
        <v>4</v>
      </c>
      <c r="P4" s="1290"/>
      <c r="Q4" s="1560"/>
      <c r="R4" s="1560"/>
      <c r="S4" s="1290"/>
      <c r="T4" s="1290"/>
      <c r="U4" s="1290"/>
      <c r="V4" s="1290"/>
      <c r="W4" s="1560"/>
      <c r="X4" s="1290"/>
      <c r="Y4" s="1290"/>
      <c r="Z4" s="478"/>
      <c r="AA4" s="1290"/>
      <c r="AB4" s="1290"/>
      <c r="AC4" s="1290"/>
      <c r="AD4" s="1290"/>
      <c r="AE4" s="1290"/>
      <c r="AK4" s="1556">
        <v>0</v>
      </c>
    </row>
    <row r="5" spans="1:37" ht="11.45" customHeight="1">
      <c r="AK5" s="1555">
        <v>11</v>
      </c>
    </row>
    <row r="6" spans="1:37" ht="57.75" customHeight="1">
      <c r="I6" s="3966" t="s">
        <v>828</v>
      </c>
      <c r="J6" s="3966"/>
      <c r="K6" s="3966"/>
      <c r="L6" s="3966"/>
      <c r="M6" s="3966"/>
      <c r="O6" s="490"/>
      <c r="AK6" s="1555">
        <v>55</v>
      </c>
    </row>
    <row r="7" spans="1:37" ht="25.15" customHeight="1">
      <c r="I7" s="3987" t="str">
        <f>IF(org=0,"Не определено",org)</f>
        <v>ООО "Смоленскрегионтеплоэнерго"</v>
      </c>
      <c r="J7" s="3987"/>
      <c r="K7" s="3987"/>
      <c r="L7" s="3987"/>
      <c r="M7" s="3987"/>
      <c r="AK7" s="1555">
        <v>24</v>
      </c>
    </row>
    <row r="8" spans="1:37" ht="11.45" customHeight="1">
      <c r="I8" s="1059"/>
      <c r="J8" s="1059"/>
      <c r="K8" s="1059"/>
      <c r="L8" s="1059"/>
      <c r="M8" s="1059"/>
      <c r="AK8" s="1555">
        <v>11</v>
      </c>
    </row>
    <row r="9" spans="1:37" s="1566" customFormat="1" ht="30" hidden="1" customHeight="1">
      <c r="A9" s="1091"/>
      <c r="B9" s="1091"/>
      <c r="C9" s="1091"/>
      <c r="E9" s="1091"/>
      <c r="L9" s="816"/>
      <c r="M9" s="816" t="s">
        <v>189</v>
      </c>
      <c r="AK9" s="1560">
        <v>1</v>
      </c>
    </row>
    <row r="10" spans="1:37" ht="11.45" customHeight="1">
      <c r="E10" s="1942" t="s">
        <v>829</v>
      </c>
      <c r="I10" s="645"/>
      <c r="J10" s="4120" t="s">
        <v>180</v>
      </c>
      <c r="K10" s="4121"/>
      <c r="L10" s="1921" t="str">
        <f>IF(L9="","",INDEX(DIFFERENTIATION_UNMERGE_VD,MATCH(L9,DIFFERENTIATION_ID_DIFF,0)))</f>
        <v/>
      </c>
      <c r="M10" s="1921">
        <f>IF(M9="","",INDEX(DIFFERENTIATION_UNMERGE_VD,MATCH(M9,DIFFERENTIATION_ID_DIFF,0)))</f>
        <v>0</v>
      </c>
      <c r="O10" s="3889" t="s">
        <v>509</v>
      </c>
      <c r="AK10" s="1555">
        <v>11</v>
      </c>
    </row>
    <row r="11" spans="1:37" ht="11.45" customHeight="1">
      <c r="E11" s="1942" t="s">
        <v>830</v>
      </c>
      <c r="I11" s="645"/>
      <c r="J11" s="4120" t="s">
        <v>773</v>
      </c>
      <c r="K11" s="4121"/>
      <c r="L11" s="1921" t="str">
        <f>IF(L9="","",INDEX(DIFFERENTIATION_UNMERGE_AREA,MATCH(L9,DIFFERENTIATION_ID_DIFF,0)))</f>
        <v/>
      </c>
      <c r="M11" s="1921" t="str">
        <f>IF(M9="","",INDEX(DIFFERENTIATION_UNMERGE_AREA,MATCH(M9,DIFFERENTIATION_ID_DIFF,0)))</f>
        <v/>
      </c>
      <c r="O11" s="3889"/>
      <c r="AK11" s="1555">
        <v>11</v>
      </c>
    </row>
    <row r="12" spans="1:37" ht="11.45" customHeight="1">
      <c r="E12" s="1942" t="s">
        <v>831</v>
      </c>
      <c r="I12" s="1586"/>
      <c r="J12" s="4120" t="s">
        <v>774</v>
      </c>
      <c r="K12" s="4121"/>
      <c r="L12" s="1921" t="str">
        <f>IF(L9="","",INDEX(DIFFERENTIATION_UNMERGE_SYSTEM,MATCH(L9,DIFFERENTIATION_ID_DIFF,0)))</f>
        <v/>
      </c>
      <c r="M12" s="1921" t="str">
        <f>IF(M9="","",INDEX(DIFFERENTIATION_UNMERGE_SYSTEM,MATCH(M9,DIFFERENTIATION_ID_DIFF,0)))</f>
        <v>без дифференциации</v>
      </c>
      <c r="O12" s="3889"/>
      <c r="AK12" s="1555">
        <v>11</v>
      </c>
    </row>
    <row r="13" spans="1:37" ht="11.45" customHeight="1">
      <c r="E13" s="1942" t="s">
        <v>832</v>
      </c>
      <c r="F13" s="1942" t="s">
        <v>833</v>
      </c>
      <c r="I13" s="4122" t="s">
        <v>508</v>
      </c>
      <c r="J13" s="4123"/>
      <c r="K13" s="4123"/>
      <c r="L13" s="1919"/>
      <c r="M13" s="1959"/>
      <c r="O13" s="3889"/>
      <c r="AK13" s="1555">
        <v>11</v>
      </c>
    </row>
    <row r="14" spans="1:37" ht="24" customHeight="1">
      <c r="I14" s="1912" t="s">
        <v>75</v>
      </c>
      <c r="J14" s="1912" t="s">
        <v>510</v>
      </c>
      <c r="K14" s="1912" t="s">
        <v>775</v>
      </c>
      <c r="L14" s="1952" t="s">
        <v>511</v>
      </c>
      <c r="M14" s="1953" t="s">
        <v>511</v>
      </c>
      <c r="O14" s="3889"/>
      <c r="AK14" s="1555">
        <v>23</v>
      </c>
    </row>
    <row r="15" spans="1:37" ht="24" customHeight="1">
      <c r="A15" s="1946"/>
      <c r="B15" s="1945" t="s">
        <v>834</v>
      </c>
      <c r="C15" s="1945" t="s">
        <v>835</v>
      </c>
      <c r="D15" s="1944" t="s">
        <v>836</v>
      </c>
      <c r="E15" s="1948" t="s">
        <v>837</v>
      </c>
      <c r="F15" s="1948" t="s">
        <v>837</v>
      </c>
      <c r="G15" s="1560" t="s">
        <v>797</v>
      </c>
      <c r="H15" s="1913"/>
      <c r="I15" s="1554">
        <v>1</v>
      </c>
      <c r="J15" s="1914" t="s">
        <v>838</v>
      </c>
      <c r="K15" s="1912" t="s">
        <v>514</v>
      </c>
      <c r="L15" s="596"/>
      <c r="M15" s="746"/>
      <c r="N15" s="477" t="s">
        <v>839</v>
      </c>
      <c r="O15" s="1449" t="s">
        <v>840</v>
      </c>
      <c r="P15" s="477" t="s">
        <v>839</v>
      </c>
      <c r="AK15" s="1555">
        <v>23</v>
      </c>
    </row>
    <row r="16" spans="1:37" ht="35.65" customHeight="1">
      <c r="A16" s="1946"/>
      <c r="B16" s="1945" t="s">
        <v>841</v>
      </c>
      <c r="C16" s="1945" t="s">
        <v>842</v>
      </c>
      <c r="D16" s="1944" t="s">
        <v>826</v>
      </c>
      <c r="E16" s="1948" t="s">
        <v>837</v>
      </c>
      <c r="F16" s="1948" t="s">
        <v>837</v>
      </c>
      <c r="H16" s="1913"/>
      <c r="I16" s="1553">
        <v>2</v>
      </c>
      <c r="J16" s="1955" t="s">
        <v>843</v>
      </c>
      <c r="K16" s="1954" t="s">
        <v>765</v>
      </c>
      <c r="L16" s="1960"/>
      <c r="M16" s="1600"/>
      <c r="N16" s="477" t="s">
        <v>839</v>
      </c>
      <c r="O16" s="1449" t="s">
        <v>844</v>
      </c>
      <c r="P16" s="477" t="s">
        <v>839</v>
      </c>
      <c r="AK16" s="1555">
        <v>34</v>
      </c>
    </row>
    <row r="17" spans="1:37" s="1566" customFormat="1" ht="17.25" hidden="1" customHeight="1">
      <c r="A17" s="1091"/>
      <c r="B17" s="1091"/>
      <c r="C17" s="1091"/>
      <c r="D17" s="1091"/>
      <c r="E17" s="1091"/>
      <c r="H17" s="1248"/>
      <c r="I17" s="940" t="s">
        <v>845</v>
      </c>
      <c r="J17" s="918"/>
      <c r="K17" s="940"/>
      <c r="L17" s="919"/>
      <c r="M17" s="919"/>
      <c r="O17" s="1309"/>
      <c r="AK17" s="1560">
        <v>1</v>
      </c>
    </row>
    <row r="18" spans="1:37" s="1290" customFormat="1" ht="24" customHeight="1">
      <c r="A18" s="914"/>
      <c r="B18" s="914"/>
      <c r="C18" s="914"/>
      <c r="D18" s="914"/>
      <c r="E18" s="914"/>
      <c r="G18" s="1560"/>
      <c r="H18" s="1557"/>
      <c r="I18" s="504"/>
      <c r="J18" s="505" t="s">
        <v>795</v>
      </c>
      <c r="K18" s="506"/>
      <c r="L18" s="1962"/>
      <c r="M18" s="507"/>
      <c r="N18" s="477"/>
      <c r="O18" s="1449" t="s">
        <v>796</v>
      </c>
      <c r="P18" s="477"/>
      <c r="Q18" s="1560"/>
      <c r="R18" s="1560"/>
      <c r="W18" s="1560"/>
      <c r="Z18" s="478"/>
      <c r="AF18" s="1556"/>
      <c r="AG18" s="1556"/>
      <c r="AH18" s="1556"/>
      <c r="AI18" s="1556"/>
      <c r="AJ18" s="1556"/>
      <c r="AK18" s="1290">
        <v>23</v>
      </c>
    </row>
    <row r="19" spans="1:37" ht="19.899999999999999" customHeight="1">
      <c r="A19" s="1946"/>
      <c r="B19" s="1945" t="s">
        <v>846</v>
      </c>
      <c r="C19" s="1945" t="s">
        <v>847</v>
      </c>
      <c r="D19" s="1944" t="s">
        <v>826</v>
      </c>
      <c r="E19" s="1948" t="s">
        <v>837</v>
      </c>
      <c r="F19" s="1948" t="s">
        <v>837</v>
      </c>
      <c r="H19" s="1913"/>
      <c r="I19" s="1588">
        <v>3</v>
      </c>
      <c r="J19" s="1914" t="s">
        <v>847</v>
      </c>
      <c r="K19" s="1910" t="s">
        <v>765</v>
      </c>
      <c r="L19" s="661"/>
      <c r="M19" s="491"/>
      <c r="N19" s="477"/>
      <c r="O19" s="1449" t="s">
        <v>848</v>
      </c>
      <c r="P19" s="477"/>
      <c r="AK19" s="1555">
        <v>19</v>
      </c>
    </row>
    <row r="20" spans="1:37" ht="77.650000000000006" customHeight="1">
      <c r="A20" s="1946"/>
      <c r="B20" s="1945" t="s">
        <v>849</v>
      </c>
      <c r="C20" s="1945" t="s">
        <v>850</v>
      </c>
      <c r="D20" s="1944" t="s">
        <v>826</v>
      </c>
      <c r="E20" s="1948" t="s">
        <v>837</v>
      </c>
      <c r="F20" s="1948" t="s">
        <v>837</v>
      </c>
      <c r="H20" s="1913"/>
      <c r="I20" s="1588">
        <v>4</v>
      </c>
      <c r="J20" s="1914" t="s">
        <v>851</v>
      </c>
      <c r="K20" s="1910" t="s">
        <v>792</v>
      </c>
      <c r="L20" s="661"/>
      <c r="M20" s="491"/>
      <c r="N20" s="477"/>
      <c r="O20" s="1449"/>
      <c r="P20" s="477"/>
      <c r="AK20" s="1555">
        <v>74</v>
      </c>
    </row>
    <row r="21" spans="1:37" ht="35.65" customHeight="1">
      <c r="A21" s="1946"/>
      <c r="B21" s="1945" t="s">
        <v>852</v>
      </c>
      <c r="C21" s="1945" t="s">
        <v>853</v>
      </c>
      <c r="D21" s="1944" t="s">
        <v>826</v>
      </c>
      <c r="E21" s="1948" t="s">
        <v>837</v>
      </c>
      <c r="F21" s="1948" t="s">
        <v>837</v>
      </c>
      <c r="H21" s="1913"/>
      <c r="I21" s="1588">
        <v>5</v>
      </c>
      <c r="J21" s="1914" t="s">
        <v>854</v>
      </c>
      <c r="K21" s="1910" t="s">
        <v>792</v>
      </c>
      <c r="L21" s="661"/>
      <c r="M21" s="491"/>
      <c r="N21" s="477"/>
      <c r="O21" s="1449" t="s">
        <v>848</v>
      </c>
      <c r="P21" s="477"/>
      <c r="AK21" s="1555">
        <v>34</v>
      </c>
    </row>
    <row r="22" spans="1:37" ht="48.2" customHeight="1">
      <c r="A22" s="1946"/>
      <c r="B22" s="1945" t="s">
        <v>855</v>
      </c>
      <c r="C22" s="1945" t="s">
        <v>856</v>
      </c>
      <c r="D22" s="1944" t="s">
        <v>826</v>
      </c>
      <c r="E22" s="1948" t="s">
        <v>837</v>
      </c>
      <c r="F22" s="1948" t="s">
        <v>837</v>
      </c>
      <c r="H22" s="1913"/>
      <c r="I22" s="1588">
        <v>6</v>
      </c>
      <c r="J22" s="1914" t="s">
        <v>857</v>
      </c>
      <c r="K22" s="1910" t="s">
        <v>792</v>
      </c>
      <c r="L22" s="661"/>
      <c r="M22" s="491"/>
      <c r="N22" s="477"/>
      <c r="O22" s="1449" t="s">
        <v>858</v>
      </c>
      <c r="P22" s="477"/>
      <c r="AK22" s="1555">
        <v>46</v>
      </c>
    </row>
    <row r="23" spans="1:37" ht="19.899999999999999" customHeight="1">
      <c r="A23" s="1946"/>
      <c r="B23" s="1945" t="s">
        <v>859</v>
      </c>
      <c r="C23" s="1945" t="s">
        <v>860</v>
      </c>
      <c r="D23" s="1944" t="s">
        <v>826</v>
      </c>
      <c r="E23" s="1948" t="s">
        <v>837</v>
      </c>
      <c r="F23" s="1948" t="s">
        <v>837</v>
      </c>
      <c r="H23" s="1913"/>
      <c r="I23" s="1588" t="s">
        <v>861</v>
      </c>
      <c r="J23" s="1448" t="s">
        <v>862</v>
      </c>
      <c r="K23" s="1910" t="s">
        <v>792</v>
      </c>
      <c r="L23" s="661"/>
      <c r="M23" s="491"/>
      <c r="N23" s="477"/>
      <c r="O23" s="1449" t="s">
        <v>848</v>
      </c>
      <c r="P23" s="477"/>
      <c r="AK23" s="1555">
        <v>19</v>
      </c>
    </row>
    <row r="24" spans="1:37" ht="19.899999999999999" customHeight="1">
      <c r="A24" s="1946"/>
      <c r="B24" s="1945" t="s">
        <v>863</v>
      </c>
      <c r="C24" s="1945" t="s">
        <v>864</v>
      </c>
      <c r="D24" s="1944" t="s">
        <v>826</v>
      </c>
      <c r="E24" s="1948" t="s">
        <v>837</v>
      </c>
      <c r="F24" s="1948" t="s">
        <v>837</v>
      </c>
      <c r="H24" s="1913"/>
      <c r="I24" s="1588" t="s">
        <v>865</v>
      </c>
      <c r="J24" s="1448" t="s">
        <v>866</v>
      </c>
      <c r="K24" s="1910" t="s">
        <v>792</v>
      </c>
      <c r="L24" s="661"/>
      <c r="M24" s="491"/>
      <c r="N24" s="477"/>
      <c r="O24" s="1449"/>
      <c r="P24" s="477"/>
      <c r="AK24" s="1555">
        <v>19</v>
      </c>
    </row>
    <row r="25" spans="1:37" ht="24" customHeight="1">
      <c r="A25" s="1946"/>
      <c r="B25" s="1945" t="s">
        <v>867</v>
      </c>
      <c r="C25" s="1945" t="s">
        <v>868</v>
      </c>
      <c r="D25" s="1944" t="s">
        <v>826</v>
      </c>
      <c r="E25" s="1948" t="s">
        <v>837</v>
      </c>
      <c r="F25" s="1948" t="s">
        <v>837</v>
      </c>
      <c r="H25" s="1913"/>
      <c r="I25" s="1588" t="s">
        <v>869</v>
      </c>
      <c r="J25" s="1448" t="s">
        <v>870</v>
      </c>
      <c r="K25" s="1910" t="s">
        <v>792</v>
      </c>
      <c r="L25" s="661"/>
      <c r="M25" s="491"/>
      <c r="N25" s="477"/>
      <c r="O25" s="1449"/>
      <c r="P25" s="477"/>
      <c r="AK25" s="1555">
        <v>23</v>
      </c>
    </row>
    <row r="26" spans="1:37" ht="24" customHeight="1">
      <c r="A26" s="1946"/>
      <c r="B26" s="1945" t="s">
        <v>871</v>
      </c>
      <c r="C26" s="1945" t="s">
        <v>872</v>
      </c>
      <c r="D26" s="1944" t="s">
        <v>826</v>
      </c>
      <c r="E26" s="1948" t="s">
        <v>837</v>
      </c>
      <c r="F26" s="1948" t="s">
        <v>837</v>
      </c>
      <c r="H26" s="1913"/>
      <c r="I26" s="1588">
        <v>7</v>
      </c>
      <c r="J26" s="1914" t="s">
        <v>872</v>
      </c>
      <c r="K26" s="1910" t="s">
        <v>873</v>
      </c>
      <c r="L26" s="661"/>
      <c r="M26" s="491"/>
      <c r="N26" s="477"/>
      <c r="O26" s="1449"/>
      <c r="P26" s="477"/>
      <c r="AK26" s="1555">
        <v>23</v>
      </c>
    </row>
    <row r="27" spans="1:37" ht="24" customHeight="1">
      <c r="A27" s="1946"/>
      <c r="B27" s="1945" t="s">
        <v>874</v>
      </c>
      <c r="C27" s="1945" t="s">
        <v>875</v>
      </c>
      <c r="D27" s="1944" t="s">
        <v>826</v>
      </c>
      <c r="E27" s="1948" t="s">
        <v>837</v>
      </c>
      <c r="F27" s="1948" t="s">
        <v>837</v>
      </c>
      <c r="H27" s="1913"/>
      <c r="I27" s="1588">
        <v>8</v>
      </c>
      <c r="J27" s="1914" t="s">
        <v>875</v>
      </c>
      <c r="K27" s="1910" t="s">
        <v>798</v>
      </c>
      <c r="L27" s="661"/>
      <c r="M27" s="491"/>
      <c r="N27" s="477"/>
      <c r="O27" s="1449"/>
      <c r="P27" s="477"/>
      <c r="AK27" s="1555">
        <v>23</v>
      </c>
    </row>
    <row r="28" spans="1:37" ht="35.65" customHeight="1">
      <c r="A28" s="1946"/>
      <c r="B28" s="1945" t="s">
        <v>876</v>
      </c>
      <c r="C28" s="1945" t="s">
        <v>877</v>
      </c>
      <c r="D28" s="1944" t="s">
        <v>826</v>
      </c>
      <c r="E28" s="1948" t="s">
        <v>837</v>
      </c>
      <c r="F28" s="1948" t="s">
        <v>837</v>
      </c>
      <c r="H28" s="1913"/>
      <c r="I28" s="1599">
        <v>9</v>
      </c>
      <c r="J28" s="1914" t="s">
        <v>878</v>
      </c>
      <c r="K28" s="1910" t="s">
        <v>769</v>
      </c>
      <c r="L28" s="661"/>
      <c r="M28" s="491"/>
      <c r="N28" s="477"/>
      <c r="O28" s="1449"/>
      <c r="P28" s="477"/>
      <c r="AK28" s="1555">
        <v>34</v>
      </c>
    </row>
    <row r="29" spans="1:37" ht="35.65" customHeight="1">
      <c r="A29" s="1946"/>
      <c r="B29" s="1945" t="s">
        <v>879</v>
      </c>
      <c r="C29" s="1945" t="s">
        <v>880</v>
      </c>
      <c r="D29" s="1944" t="s">
        <v>826</v>
      </c>
      <c r="E29" s="1948" t="s">
        <v>837</v>
      </c>
      <c r="F29" s="1948" t="s">
        <v>837</v>
      </c>
      <c r="H29" s="1913"/>
      <c r="I29" s="1599">
        <v>10</v>
      </c>
      <c r="J29" s="1914" t="s">
        <v>881</v>
      </c>
      <c r="K29" s="1910" t="s">
        <v>769</v>
      </c>
      <c r="L29" s="661"/>
      <c r="M29" s="491"/>
      <c r="N29" s="477"/>
      <c r="O29" s="1449"/>
      <c r="P29" s="477"/>
      <c r="AK29" s="1555">
        <v>34</v>
      </c>
    </row>
    <row r="30" spans="1:37" ht="24" customHeight="1">
      <c r="A30" s="1946"/>
      <c r="B30" s="1945" t="s">
        <v>882</v>
      </c>
      <c r="C30" s="1945" t="s">
        <v>883</v>
      </c>
      <c r="D30" s="1944" t="s">
        <v>826</v>
      </c>
      <c r="E30" s="1948" t="s">
        <v>837</v>
      </c>
      <c r="F30" s="1948" t="s">
        <v>837</v>
      </c>
      <c r="H30" s="1913"/>
      <c r="I30" s="1599">
        <v>11</v>
      </c>
      <c r="J30" s="1914" t="s">
        <v>883</v>
      </c>
      <c r="K30" s="1910" t="s">
        <v>799</v>
      </c>
      <c r="L30" s="1961"/>
      <c r="M30" s="1545"/>
      <c r="N30" s="477"/>
      <c r="O30" s="1449"/>
      <c r="P30" s="477"/>
      <c r="AK30" s="1555">
        <v>23</v>
      </c>
    </row>
    <row r="31" spans="1:37" ht="24" customHeight="1">
      <c r="A31" s="1946"/>
      <c r="B31" s="1945" t="s">
        <v>884</v>
      </c>
      <c r="C31" s="1945" t="s">
        <v>885</v>
      </c>
      <c r="D31" s="1944" t="s">
        <v>826</v>
      </c>
      <c r="E31" s="1948" t="s">
        <v>837</v>
      </c>
      <c r="F31" s="1948" t="s">
        <v>837</v>
      </c>
      <c r="H31" s="1913"/>
      <c r="I31" s="1599">
        <v>12</v>
      </c>
      <c r="J31" s="1914" t="s">
        <v>885</v>
      </c>
      <c r="K31" s="1910" t="s">
        <v>799</v>
      </c>
      <c r="L31" s="1961"/>
      <c r="M31" s="1545"/>
      <c r="N31" s="477"/>
      <c r="O31" s="1449"/>
      <c r="P31" s="477"/>
      <c r="AK31" s="1555">
        <v>23</v>
      </c>
    </row>
    <row r="32" spans="1:37" ht="48.2" customHeight="1">
      <c r="A32" s="1946"/>
      <c r="B32" s="1945" t="s">
        <v>886</v>
      </c>
      <c r="C32" s="1945" t="s">
        <v>887</v>
      </c>
      <c r="D32" s="1944" t="s">
        <v>826</v>
      </c>
      <c r="E32" s="1948" t="s">
        <v>837</v>
      </c>
      <c r="F32" s="1948" t="s">
        <v>837</v>
      </c>
      <c r="H32" s="1913"/>
      <c r="I32" s="1599">
        <v>13</v>
      </c>
      <c r="J32" s="1914" t="s">
        <v>888</v>
      </c>
      <c r="K32" s="1910" t="s">
        <v>809</v>
      </c>
      <c r="L32" s="661"/>
      <c r="M32" s="491"/>
      <c r="N32" s="477"/>
      <c r="O32" s="1449" t="s">
        <v>848</v>
      </c>
      <c r="P32" s="477"/>
      <c r="AK32" s="1555">
        <v>46</v>
      </c>
    </row>
    <row r="33" spans="1:37" s="1290" customFormat="1" ht="48.2" customHeight="1">
      <c r="A33" s="1946"/>
      <c r="B33" s="1945" t="s">
        <v>889</v>
      </c>
      <c r="C33" s="1945" t="s">
        <v>890</v>
      </c>
      <c r="D33" s="1944" t="s">
        <v>826</v>
      </c>
      <c r="E33" s="1948" t="s">
        <v>837</v>
      </c>
      <c r="F33" s="1948" t="s">
        <v>837</v>
      </c>
      <c r="G33" s="1560"/>
      <c r="H33" s="1913"/>
      <c r="I33" s="1599">
        <v>14</v>
      </c>
      <c r="J33" s="1926" t="s">
        <v>891</v>
      </c>
      <c r="K33" s="1915" t="s">
        <v>892</v>
      </c>
      <c r="L33" s="661"/>
      <c r="M33" s="491"/>
      <c r="N33" s="477"/>
      <c r="O33" s="1449" t="s">
        <v>848</v>
      </c>
      <c r="P33" s="477"/>
      <c r="Q33" s="1560"/>
      <c r="R33" s="1560"/>
      <c r="W33" s="1560"/>
      <c r="Z33" s="478"/>
      <c r="AF33" s="1556"/>
      <c r="AG33" s="1556"/>
      <c r="AH33" s="1556"/>
      <c r="AI33" s="1556"/>
      <c r="AJ33" s="1556"/>
      <c r="AK33" s="1290">
        <v>46</v>
      </c>
    </row>
    <row r="34" spans="1:37" ht="108" customHeight="1">
      <c r="A34" s="1946"/>
      <c r="B34" s="1945" t="s">
        <v>893</v>
      </c>
      <c r="C34" s="1945" t="s">
        <v>894</v>
      </c>
      <c r="D34" s="1944" t="s">
        <v>836</v>
      </c>
      <c r="E34" s="1948" t="s">
        <v>837</v>
      </c>
      <c r="F34" s="1948" t="s">
        <v>837</v>
      </c>
      <c r="G34" s="1560" t="s">
        <v>797</v>
      </c>
      <c r="H34" s="1913"/>
      <c r="I34" s="1924">
        <v>15</v>
      </c>
      <c r="J34" s="1925" t="s">
        <v>895</v>
      </c>
      <c r="K34" s="1910" t="s">
        <v>514</v>
      </c>
      <c r="L34" s="319"/>
      <c r="M34" s="1088"/>
      <c r="N34" s="477"/>
      <c r="O34" s="1449" t="s">
        <v>840</v>
      </c>
      <c r="P34" s="477"/>
      <c r="AK34" s="1555">
        <v>103</v>
      </c>
    </row>
    <row r="35" spans="1:37" s="1565" customFormat="1" ht="11.45" customHeight="1">
      <c r="A35" s="914"/>
      <c r="B35" s="914"/>
      <c r="C35" s="914"/>
      <c r="D35" s="914"/>
      <c r="E35" s="914"/>
      <c r="F35" s="1560"/>
      <c r="G35" s="1560"/>
      <c r="H35" s="285"/>
      <c r="N35" s="1290"/>
      <c r="P35" s="1290"/>
      <c r="Q35" s="1560"/>
      <c r="R35" s="1560"/>
      <c r="S35" s="1290"/>
      <c r="T35" s="1290"/>
      <c r="U35" s="1290"/>
      <c r="V35" s="1290"/>
      <c r="W35" s="1560"/>
      <c r="X35" s="1290"/>
      <c r="Y35" s="1290"/>
      <c r="Z35" s="478"/>
      <c r="AA35" s="1290"/>
      <c r="AB35" s="1290"/>
      <c r="AC35" s="1290"/>
      <c r="AD35" s="1290"/>
      <c r="AE35" s="1290"/>
      <c r="AF35" s="1556"/>
      <c r="AG35" s="556"/>
      <c r="AH35" s="556"/>
      <c r="AI35" s="556"/>
      <c r="AJ35" s="556"/>
      <c r="AK35" s="1565">
        <v>11</v>
      </c>
    </row>
    <row r="36" spans="1:37" s="1565" customFormat="1" ht="11.45" customHeight="1">
      <c r="A36" s="914"/>
      <c r="B36" s="914"/>
      <c r="C36" s="914"/>
      <c r="D36" s="914"/>
      <c r="E36" s="914"/>
      <c r="F36" s="1560"/>
      <c r="G36" s="1560"/>
      <c r="H36" s="285"/>
      <c r="N36" s="1290"/>
      <c r="P36" s="1290"/>
      <c r="Q36" s="1560"/>
      <c r="R36" s="1560"/>
      <c r="S36" s="1290"/>
      <c r="T36" s="1290"/>
      <c r="U36" s="1290"/>
      <c r="V36" s="1290"/>
      <c r="W36" s="1560"/>
      <c r="X36" s="1290"/>
      <c r="Y36" s="1290"/>
      <c r="Z36" s="478"/>
      <c r="AA36" s="1290"/>
      <c r="AB36" s="1290"/>
      <c r="AC36" s="1290"/>
      <c r="AD36" s="1290"/>
      <c r="AE36" s="1290"/>
      <c r="AF36" s="1556"/>
      <c r="AG36" s="556"/>
      <c r="AH36" s="556"/>
      <c r="AI36" s="556"/>
      <c r="AJ36" s="556"/>
      <c r="AK36" s="1565">
        <v>11</v>
      </c>
    </row>
    <row r="37" spans="1:37" s="1565" customFormat="1" ht="11.45" customHeight="1">
      <c r="A37" s="914"/>
      <c r="B37" s="914"/>
      <c r="C37" s="914"/>
      <c r="D37" s="914"/>
      <c r="E37" s="914"/>
      <c r="F37" s="1560"/>
      <c r="G37" s="1560"/>
      <c r="H37" s="285"/>
      <c r="L37" s="556"/>
      <c r="M37" s="556"/>
      <c r="N37" s="1290"/>
      <c r="P37" s="1290"/>
      <c r="Q37" s="1560"/>
      <c r="R37" s="1560"/>
      <c r="S37" s="1290"/>
      <c r="T37" s="1290"/>
      <c r="U37" s="1290"/>
      <c r="V37" s="1290"/>
      <c r="W37" s="1560"/>
      <c r="X37" s="1290"/>
      <c r="Y37" s="1290"/>
      <c r="Z37" s="478"/>
      <c r="AA37" s="1290"/>
      <c r="AB37" s="1290"/>
      <c r="AC37" s="1290"/>
      <c r="AD37" s="1290"/>
      <c r="AE37" s="1290"/>
      <c r="AF37" s="1556"/>
      <c r="AG37" s="556"/>
      <c r="AH37" s="556"/>
      <c r="AI37" s="556"/>
      <c r="AJ37" s="556"/>
      <c r="AK37" s="1565">
        <v>11</v>
      </c>
    </row>
    <row r="38" spans="1:37" s="1565" customFormat="1" ht="11.45" customHeight="1">
      <c r="A38" s="914"/>
      <c r="B38" s="914"/>
      <c r="C38" s="914"/>
      <c r="D38" s="914"/>
      <c r="E38" s="914"/>
      <c r="F38" s="1560"/>
      <c r="G38" s="1560"/>
      <c r="H38" s="285"/>
      <c r="N38" s="1290"/>
      <c r="P38" s="1290"/>
      <c r="Q38" s="1560"/>
      <c r="R38" s="1560"/>
      <c r="S38" s="1290"/>
      <c r="T38" s="1290"/>
      <c r="U38" s="1290"/>
      <c r="V38" s="1290"/>
      <c r="W38" s="1560"/>
      <c r="X38" s="1290"/>
      <c r="Y38" s="1290"/>
      <c r="Z38" s="478"/>
      <c r="AA38" s="1290"/>
      <c r="AB38" s="1290"/>
      <c r="AC38" s="1290"/>
      <c r="AD38" s="1290"/>
      <c r="AE38" s="1290"/>
      <c r="AF38" s="1556"/>
      <c r="AG38" s="556"/>
      <c r="AH38" s="556"/>
      <c r="AI38" s="556"/>
      <c r="AJ38" s="556"/>
      <c r="AK38" s="1565">
        <v>11</v>
      </c>
    </row>
    <row r="39" spans="1:37" s="1565" customFormat="1" ht="11.45" customHeight="1">
      <c r="A39" s="914"/>
      <c r="B39" s="914"/>
      <c r="C39" s="914"/>
      <c r="D39" s="914"/>
      <c r="E39" s="914"/>
      <c r="F39" s="1560"/>
      <c r="G39" s="1560"/>
      <c r="H39" s="285"/>
      <c r="N39" s="1290"/>
      <c r="P39" s="1290"/>
      <c r="Q39" s="1560"/>
      <c r="R39" s="1560"/>
      <c r="S39" s="1290"/>
      <c r="T39" s="1290"/>
      <c r="U39" s="1290"/>
      <c r="V39" s="1290"/>
      <c r="W39" s="1560"/>
      <c r="X39" s="1290"/>
      <c r="Y39" s="1290"/>
      <c r="Z39" s="478"/>
      <c r="AA39" s="1290"/>
      <c r="AB39" s="1290"/>
      <c r="AC39" s="1290"/>
      <c r="AD39" s="1290"/>
      <c r="AE39" s="1290"/>
      <c r="AF39" s="1556"/>
      <c r="AG39" s="556"/>
      <c r="AH39" s="556"/>
      <c r="AI39" s="556"/>
      <c r="AJ39" s="556"/>
      <c r="AK39" s="1565">
        <v>11</v>
      </c>
    </row>
    <row r="40" spans="1:37" s="1565" customFormat="1" ht="11.45" customHeight="1">
      <c r="A40" s="914"/>
      <c r="B40" s="914"/>
      <c r="C40" s="914"/>
      <c r="D40" s="914"/>
      <c r="E40" s="914"/>
      <c r="F40" s="1560"/>
      <c r="G40" s="1560"/>
      <c r="H40" s="285"/>
      <c r="N40" s="1290"/>
      <c r="P40" s="1290"/>
      <c r="Q40" s="1560"/>
      <c r="R40" s="1560"/>
      <c r="S40" s="1290"/>
      <c r="T40" s="1290"/>
      <c r="U40" s="1290"/>
      <c r="V40" s="1290"/>
      <c r="W40" s="1560"/>
      <c r="X40" s="1290"/>
      <c r="Y40" s="1290"/>
      <c r="Z40" s="478"/>
      <c r="AA40" s="1290"/>
      <c r="AB40" s="1290"/>
      <c r="AC40" s="1290"/>
      <c r="AD40" s="1290"/>
      <c r="AE40" s="1290"/>
      <c r="AF40" s="1556"/>
      <c r="AG40" s="556"/>
      <c r="AH40" s="556"/>
      <c r="AI40" s="556"/>
      <c r="AJ40" s="556"/>
      <c r="AK40" s="1565">
        <v>11</v>
      </c>
    </row>
    <row r="41" spans="1:37" s="1565" customFormat="1" ht="11.45" customHeight="1">
      <c r="A41" s="914"/>
      <c r="B41" s="914"/>
      <c r="C41" s="914"/>
      <c r="D41" s="914"/>
      <c r="E41" s="914"/>
      <c r="F41" s="1560"/>
      <c r="G41" s="1560"/>
      <c r="H41" s="285"/>
      <c r="N41" s="1290"/>
      <c r="P41" s="1290"/>
      <c r="Q41" s="1560"/>
      <c r="R41" s="1560"/>
      <c r="S41" s="1290"/>
      <c r="T41" s="1290"/>
      <c r="U41" s="1290"/>
      <c r="V41" s="1290"/>
      <c r="W41" s="1560"/>
      <c r="X41" s="1290"/>
      <c r="Y41" s="1290"/>
      <c r="Z41" s="478"/>
      <c r="AA41" s="1290"/>
      <c r="AB41" s="1290"/>
      <c r="AC41" s="1290"/>
      <c r="AD41" s="1290"/>
      <c r="AE41" s="1290"/>
      <c r="AF41" s="1556"/>
      <c r="AG41" s="556"/>
      <c r="AH41" s="556"/>
      <c r="AI41" s="556"/>
      <c r="AJ41" s="556"/>
      <c r="AK41" s="1565">
        <v>11</v>
      </c>
    </row>
    <row r="42" spans="1:37" s="1565" customFormat="1" ht="11.45" customHeight="1">
      <c r="A42" s="914"/>
      <c r="B42" s="914"/>
      <c r="C42" s="914"/>
      <c r="D42" s="914"/>
      <c r="E42" s="914"/>
      <c r="F42" s="1560"/>
      <c r="G42" s="1560"/>
      <c r="H42" s="285"/>
      <c r="N42" s="1290"/>
      <c r="P42" s="1290"/>
      <c r="Q42" s="1560"/>
      <c r="R42" s="1560"/>
      <c r="S42" s="1290"/>
      <c r="T42" s="1290"/>
      <c r="U42" s="1290"/>
      <c r="V42" s="1290"/>
      <c r="W42" s="1560"/>
      <c r="X42" s="1290"/>
      <c r="Y42" s="1290"/>
      <c r="Z42" s="478"/>
      <c r="AA42" s="1290"/>
      <c r="AB42" s="1290"/>
      <c r="AC42" s="1290"/>
      <c r="AD42" s="1290"/>
      <c r="AE42" s="1290"/>
      <c r="AF42" s="1556"/>
      <c r="AG42" s="556"/>
      <c r="AH42" s="556"/>
      <c r="AI42" s="556"/>
      <c r="AJ42" s="556"/>
      <c r="AK42" s="1565">
        <v>11</v>
      </c>
    </row>
    <row r="43" spans="1:37" s="1565" customFormat="1" ht="11.45" customHeight="1">
      <c r="A43" s="914"/>
      <c r="B43" s="914"/>
      <c r="C43" s="914"/>
      <c r="D43" s="914"/>
      <c r="E43" s="914"/>
      <c r="F43" s="1560"/>
      <c r="G43" s="1560"/>
      <c r="H43" s="285"/>
      <c r="N43" s="1290"/>
      <c r="P43" s="1290"/>
      <c r="Q43" s="1560"/>
      <c r="R43" s="1560"/>
      <c r="S43" s="1290"/>
      <c r="T43" s="1290"/>
      <c r="U43" s="1290"/>
      <c r="V43" s="1290"/>
      <c r="W43" s="1560"/>
      <c r="X43" s="1290"/>
      <c r="Y43" s="1290"/>
      <c r="Z43" s="478"/>
      <c r="AA43" s="1290"/>
      <c r="AB43" s="1290"/>
      <c r="AC43" s="1290"/>
      <c r="AD43" s="1290"/>
      <c r="AE43" s="1290"/>
      <c r="AF43" s="1556"/>
      <c r="AG43" s="556"/>
      <c r="AH43" s="556"/>
      <c r="AI43" s="556"/>
      <c r="AJ43" s="556"/>
      <c r="AK43" s="1565">
        <v>11</v>
      </c>
    </row>
    <row r="44" spans="1:37" s="1565" customFormat="1" ht="11.45" customHeight="1">
      <c r="A44" s="914"/>
      <c r="B44" s="914"/>
      <c r="C44" s="914"/>
      <c r="D44" s="914"/>
      <c r="E44" s="914"/>
      <c r="F44" s="1560"/>
      <c r="G44" s="1560"/>
      <c r="H44" s="285"/>
      <c r="N44" s="1290"/>
      <c r="P44" s="1290"/>
      <c r="Q44" s="1560"/>
      <c r="R44" s="1560"/>
      <c r="S44" s="1290"/>
      <c r="T44" s="1290"/>
      <c r="U44" s="1290"/>
      <c r="V44" s="1290"/>
      <c r="W44" s="1560"/>
      <c r="X44" s="1290"/>
      <c r="Y44" s="1290"/>
      <c r="Z44" s="478"/>
      <c r="AA44" s="1290"/>
      <c r="AB44" s="1290"/>
      <c r="AC44" s="1290"/>
      <c r="AD44" s="1290"/>
      <c r="AE44" s="1290"/>
      <c r="AF44" s="1556"/>
      <c r="AG44" s="556"/>
      <c r="AH44" s="556"/>
      <c r="AI44" s="556"/>
      <c r="AJ44" s="556"/>
      <c r="AK44" s="1565">
        <v>11</v>
      </c>
    </row>
    <row r="45" spans="1:37" s="1565" customFormat="1" ht="11.45" customHeight="1">
      <c r="A45" s="914"/>
      <c r="B45" s="914"/>
      <c r="C45" s="914"/>
      <c r="D45" s="914"/>
      <c r="E45" s="914"/>
      <c r="F45" s="1560"/>
      <c r="G45" s="1560"/>
      <c r="H45" s="285"/>
      <c r="N45" s="1290"/>
      <c r="P45" s="1290"/>
      <c r="Q45" s="1560"/>
      <c r="R45" s="1560"/>
      <c r="S45" s="1290"/>
      <c r="T45" s="1290"/>
      <c r="U45" s="1290"/>
      <c r="V45" s="1290"/>
      <c r="W45" s="1560"/>
      <c r="X45" s="1290"/>
      <c r="Y45" s="1290"/>
      <c r="Z45" s="478"/>
      <c r="AA45" s="1290"/>
      <c r="AB45" s="1290"/>
      <c r="AC45" s="1290"/>
      <c r="AD45" s="1290"/>
      <c r="AE45" s="1290"/>
      <c r="AF45" s="1556"/>
      <c r="AG45" s="556"/>
      <c r="AH45" s="556"/>
      <c r="AI45" s="556"/>
      <c r="AJ45" s="556"/>
      <c r="AK45" s="1565">
        <v>11</v>
      </c>
    </row>
    <row r="46" spans="1:37" s="1565" customFormat="1" ht="11.45" customHeight="1">
      <c r="A46" s="914"/>
      <c r="B46" s="914"/>
      <c r="C46" s="914"/>
      <c r="D46" s="914"/>
      <c r="E46" s="914"/>
      <c r="F46" s="1560"/>
      <c r="G46" s="1560"/>
      <c r="H46" s="285"/>
      <c r="N46" s="1290"/>
      <c r="P46" s="1290"/>
      <c r="Q46" s="1560"/>
      <c r="R46" s="1560"/>
      <c r="S46" s="1290"/>
      <c r="T46" s="1290"/>
      <c r="U46" s="1290"/>
      <c r="V46" s="1290"/>
      <c r="W46" s="1560"/>
      <c r="X46" s="1290"/>
      <c r="Y46" s="1290"/>
      <c r="Z46" s="478"/>
      <c r="AA46" s="1290"/>
      <c r="AB46" s="1290"/>
      <c r="AC46" s="1290"/>
      <c r="AD46" s="1290"/>
      <c r="AE46" s="1290"/>
      <c r="AF46" s="1556"/>
      <c r="AG46" s="556"/>
      <c r="AH46" s="556"/>
      <c r="AI46" s="556"/>
      <c r="AJ46" s="556"/>
      <c r="AK46" s="1565">
        <v>11</v>
      </c>
    </row>
    <row r="47" spans="1:37" s="1565" customFormat="1" ht="11.45" customHeight="1">
      <c r="A47" s="914"/>
      <c r="B47" s="914"/>
      <c r="C47" s="914"/>
      <c r="D47" s="914"/>
      <c r="E47" s="914"/>
      <c r="F47" s="1560"/>
      <c r="G47" s="1560"/>
      <c r="H47" s="285"/>
      <c r="N47" s="1290"/>
      <c r="P47" s="1290"/>
      <c r="Q47" s="1560"/>
      <c r="R47" s="1560"/>
      <c r="S47" s="1290"/>
      <c r="T47" s="1290"/>
      <c r="U47" s="1290"/>
      <c r="V47" s="1290"/>
      <c r="W47" s="1560"/>
      <c r="X47" s="1290"/>
      <c r="Y47" s="1290"/>
      <c r="Z47" s="478"/>
      <c r="AA47" s="1290"/>
      <c r="AB47" s="1290"/>
      <c r="AC47" s="1290"/>
      <c r="AD47" s="1290"/>
      <c r="AE47" s="1290"/>
      <c r="AF47" s="1556"/>
      <c r="AG47" s="556"/>
      <c r="AH47" s="556"/>
      <c r="AI47" s="556"/>
      <c r="AJ47" s="556"/>
      <c r="AK47" s="1565">
        <v>11</v>
      </c>
    </row>
    <row r="48" spans="1:37" s="1565" customFormat="1" ht="11.45" customHeight="1">
      <c r="A48" s="914"/>
      <c r="B48" s="914"/>
      <c r="C48" s="914"/>
      <c r="D48" s="914"/>
      <c r="E48" s="914"/>
      <c r="F48" s="1560"/>
      <c r="G48" s="1560"/>
      <c r="H48" s="285"/>
      <c r="N48" s="1290"/>
      <c r="P48" s="1290"/>
      <c r="Q48" s="1560"/>
      <c r="R48" s="1560"/>
      <c r="S48" s="1290"/>
      <c r="T48" s="1290"/>
      <c r="U48" s="1290"/>
      <c r="V48" s="1290"/>
      <c r="W48" s="1560"/>
      <c r="X48" s="1290"/>
      <c r="Y48" s="1290"/>
      <c r="Z48" s="478"/>
      <c r="AA48" s="1290"/>
      <c r="AB48" s="1290"/>
      <c r="AC48" s="1290"/>
      <c r="AD48" s="1290"/>
      <c r="AE48" s="1290"/>
      <c r="AF48" s="1556"/>
      <c r="AG48" s="556"/>
      <c r="AH48" s="556"/>
      <c r="AI48" s="556"/>
      <c r="AJ48" s="556"/>
      <c r="AK48" s="1565">
        <v>11</v>
      </c>
    </row>
    <row r="49" spans="1:37" s="1565" customFormat="1" ht="11.45" customHeight="1">
      <c r="A49" s="914"/>
      <c r="B49" s="914"/>
      <c r="C49" s="914"/>
      <c r="D49" s="914"/>
      <c r="E49" s="914"/>
      <c r="F49" s="1560"/>
      <c r="G49" s="1560"/>
      <c r="H49" s="285"/>
      <c r="N49" s="1290"/>
      <c r="P49" s="1290"/>
      <c r="Q49" s="1560"/>
      <c r="R49" s="1560"/>
      <c r="S49" s="1290"/>
      <c r="T49" s="1290"/>
      <c r="U49" s="1290"/>
      <c r="V49" s="1290"/>
      <c r="W49" s="1560"/>
      <c r="X49" s="1290"/>
      <c r="Y49" s="1290"/>
      <c r="Z49" s="478"/>
      <c r="AA49" s="1290"/>
      <c r="AB49" s="1290"/>
      <c r="AC49" s="1290"/>
      <c r="AD49" s="1290"/>
      <c r="AE49" s="1290"/>
      <c r="AF49" s="1556"/>
      <c r="AG49" s="556"/>
      <c r="AH49" s="556"/>
      <c r="AI49" s="556"/>
      <c r="AJ49" s="556"/>
      <c r="AK49" s="1565">
        <v>11</v>
      </c>
    </row>
    <row r="50" spans="1:37" s="1565" customFormat="1" ht="11.45" customHeight="1">
      <c r="A50" s="914"/>
      <c r="B50" s="914"/>
      <c r="C50" s="914"/>
      <c r="D50" s="914"/>
      <c r="E50" s="914"/>
      <c r="F50" s="1560"/>
      <c r="G50" s="1560"/>
      <c r="H50" s="285"/>
      <c r="N50" s="1290"/>
      <c r="P50" s="1290"/>
      <c r="Q50" s="1560"/>
      <c r="R50" s="1560"/>
      <c r="S50" s="1290"/>
      <c r="T50" s="1290"/>
      <c r="U50" s="1290"/>
      <c r="V50" s="1290"/>
      <c r="W50" s="1560"/>
      <c r="X50" s="1290"/>
      <c r="Y50" s="1290"/>
      <c r="Z50" s="478"/>
      <c r="AA50" s="1290"/>
      <c r="AB50" s="1290"/>
      <c r="AC50" s="1290"/>
      <c r="AD50" s="1290"/>
      <c r="AE50" s="1290"/>
      <c r="AF50" s="1556"/>
      <c r="AG50" s="556"/>
      <c r="AH50" s="556"/>
      <c r="AI50" s="556"/>
      <c r="AJ50" s="556"/>
      <c r="AK50" s="1565">
        <v>11</v>
      </c>
    </row>
    <row r="51" spans="1:37" s="1565" customFormat="1" ht="11.45" customHeight="1">
      <c r="A51" s="914"/>
      <c r="B51" s="914"/>
      <c r="C51" s="914"/>
      <c r="D51" s="914"/>
      <c r="E51" s="914"/>
      <c r="F51" s="1560"/>
      <c r="G51" s="1560"/>
      <c r="H51" s="285"/>
      <c r="N51" s="1290"/>
      <c r="P51" s="1290"/>
      <c r="Q51" s="1560"/>
      <c r="R51" s="1560"/>
      <c r="S51" s="1290"/>
      <c r="T51" s="1290"/>
      <c r="U51" s="1290"/>
      <c r="V51" s="1290"/>
      <c r="W51" s="1560"/>
      <c r="X51" s="1290"/>
      <c r="Y51" s="1290"/>
      <c r="Z51" s="478"/>
      <c r="AA51" s="1290"/>
      <c r="AB51" s="1290"/>
      <c r="AC51" s="1290"/>
      <c r="AD51" s="1290"/>
      <c r="AE51" s="1290"/>
      <c r="AF51" s="1556"/>
      <c r="AG51" s="556"/>
      <c r="AH51" s="556"/>
      <c r="AI51" s="556"/>
      <c r="AJ51" s="556"/>
      <c r="AK51" s="1565">
        <v>11</v>
      </c>
    </row>
    <row r="52" spans="1:37" s="1565" customFormat="1" ht="11.45" customHeight="1">
      <c r="A52" s="914"/>
      <c r="B52" s="914"/>
      <c r="C52" s="914"/>
      <c r="D52" s="914"/>
      <c r="E52" s="914"/>
      <c r="F52" s="1560"/>
      <c r="G52" s="1560"/>
      <c r="H52" s="285"/>
      <c r="N52" s="1290"/>
      <c r="P52" s="1290"/>
      <c r="Q52" s="1560"/>
      <c r="R52" s="1560"/>
      <c r="S52" s="1290"/>
      <c r="T52" s="1290"/>
      <c r="U52" s="1290"/>
      <c r="V52" s="1290"/>
      <c r="W52" s="1560"/>
      <c r="X52" s="1290"/>
      <c r="Y52" s="1290"/>
      <c r="Z52" s="478"/>
      <c r="AA52" s="1290"/>
      <c r="AB52" s="1290"/>
      <c r="AC52" s="1290"/>
      <c r="AD52" s="1290"/>
      <c r="AE52" s="1290"/>
      <c r="AF52" s="1556"/>
      <c r="AG52" s="556"/>
      <c r="AH52" s="556"/>
      <c r="AI52" s="556"/>
      <c r="AJ52" s="556"/>
      <c r="AK52" s="1565">
        <v>11</v>
      </c>
    </row>
    <row r="53" spans="1:37" s="1565" customFormat="1" ht="11.45" customHeight="1">
      <c r="A53" s="914"/>
      <c r="B53" s="914"/>
      <c r="C53" s="914"/>
      <c r="D53" s="914"/>
      <c r="E53" s="914"/>
      <c r="F53" s="1560"/>
      <c r="G53" s="1560"/>
      <c r="H53" s="285"/>
      <c r="N53" s="1290"/>
      <c r="P53" s="1290"/>
      <c r="Q53" s="1560"/>
      <c r="R53" s="1560"/>
      <c r="S53" s="1290"/>
      <c r="T53" s="1290"/>
      <c r="U53" s="1290"/>
      <c r="V53" s="1290"/>
      <c r="W53" s="1560"/>
      <c r="X53" s="1290"/>
      <c r="Y53" s="1290"/>
      <c r="Z53" s="478"/>
      <c r="AA53" s="1290"/>
      <c r="AB53" s="1290"/>
      <c r="AC53" s="1290"/>
      <c r="AD53" s="1290"/>
      <c r="AE53" s="1290"/>
      <c r="AF53" s="1556"/>
      <c r="AG53" s="556"/>
      <c r="AH53" s="556"/>
      <c r="AI53" s="556"/>
      <c r="AJ53" s="556"/>
      <c r="AK53" s="1565">
        <v>11</v>
      </c>
    </row>
    <row r="54" spans="1:37" s="1565" customFormat="1" ht="11.45" customHeight="1">
      <c r="A54" s="914"/>
      <c r="B54" s="914"/>
      <c r="C54" s="914"/>
      <c r="D54" s="914"/>
      <c r="E54" s="914"/>
      <c r="F54" s="1560"/>
      <c r="G54" s="1560"/>
      <c r="H54" s="285"/>
      <c r="N54" s="1290"/>
      <c r="P54" s="1290"/>
      <c r="Q54" s="1560"/>
      <c r="R54" s="1560"/>
      <c r="S54" s="1290"/>
      <c r="T54" s="1290"/>
      <c r="U54" s="1290"/>
      <c r="V54" s="1290"/>
      <c r="W54" s="1560"/>
      <c r="X54" s="1290"/>
      <c r="Y54" s="1290"/>
      <c r="Z54" s="478"/>
      <c r="AA54" s="1290"/>
      <c r="AB54" s="1290"/>
      <c r="AC54" s="1290"/>
      <c r="AD54" s="1290"/>
      <c r="AE54" s="1290"/>
      <c r="AF54" s="1556"/>
      <c r="AG54" s="556"/>
      <c r="AH54" s="556"/>
      <c r="AI54" s="556"/>
      <c r="AJ54" s="556"/>
      <c r="AK54" s="1565">
        <v>11</v>
      </c>
    </row>
    <row r="55" spans="1:37" s="1565" customFormat="1" ht="11.45" customHeight="1">
      <c r="A55" s="914"/>
      <c r="B55" s="914"/>
      <c r="C55" s="914"/>
      <c r="D55" s="914"/>
      <c r="E55" s="914"/>
      <c r="F55" s="1560"/>
      <c r="G55" s="1560"/>
      <c r="H55" s="285"/>
      <c r="N55" s="1290"/>
      <c r="P55" s="1290"/>
      <c r="Q55" s="1560"/>
      <c r="R55" s="1560"/>
      <c r="S55" s="1290"/>
      <c r="T55" s="1290"/>
      <c r="U55" s="1290"/>
      <c r="V55" s="1290"/>
      <c r="W55" s="1560"/>
      <c r="X55" s="1290"/>
      <c r="Y55" s="1290"/>
      <c r="Z55" s="478"/>
      <c r="AA55" s="1290"/>
      <c r="AB55" s="1290"/>
      <c r="AC55" s="1290"/>
      <c r="AD55" s="1290"/>
      <c r="AE55" s="1290"/>
      <c r="AF55" s="1556"/>
      <c r="AG55" s="556"/>
      <c r="AH55" s="556"/>
      <c r="AI55" s="556"/>
      <c r="AJ55" s="556"/>
      <c r="AK55" s="1565">
        <v>11</v>
      </c>
    </row>
    <row r="56" spans="1:37" s="1565" customFormat="1" ht="11.45" customHeight="1">
      <c r="A56" s="914"/>
      <c r="B56" s="914"/>
      <c r="C56" s="914"/>
      <c r="D56" s="914"/>
      <c r="E56" s="914"/>
      <c r="F56" s="1560"/>
      <c r="G56" s="1560"/>
      <c r="H56" s="285"/>
      <c r="N56" s="1290"/>
      <c r="P56" s="1290"/>
      <c r="Q56" s="1560"/>
      <c r="R56" s="1560"/>
      <c r="S56" s="1290"/>
      <c r="T56" s="1290"/>
      <c r="U56" s="1290"/>
      <c r="V56" s="1290"/>
      <c r="W56" s="1560"/>
      <c r="X56" s="1290"/>
      <c r="Y56" s="1290"/>
      <c r="Z56" s="478"/>
      <c r="AA56" s="1290"/>
      <c r="AB56" s="1290"/>
      <c r="AC56" s="1290"/>
      <c r="AD56" s="1290"/>
      <c r="AE56" s="1290"/>
      <c r="AF56" s="1556"/>
      <c r="AG56" s="556"/>
      <c r="AH56" s="556"/>
      <c r="AI56" s="556"/>
      <c r="AJ56" s="556"/>
      <c r="AK56" s="1565">
        <v>11</v>
      </c>
    </row>
    <row r="57" spans="1:37" s="1565" customFormat="1" ht="11.45" customHeight="1">
      <c r="A57" s="914"/>
      <c r="B57" s="914"/>
      <c r="C57" s="914"/>
      <c r="D57" s="914"/>
      <c r="E57" s="914"/>
      <c r="F57" s="1560"/>
      <c r="G57" s="1560"/>
      <c r="H57" s="285"/>
      <c r="N57" s="1290"/>
      <c r="P57" s="1290"/>
      <c r="Q57" s="1560"/>
      <c r="R57" s="1560"/>
      <c r="S57" s="1290"/>
      <c r="T57" s="1290"/>
      <c r="U57" s="1290"/>
      <c r="V57" s="1290"/>
      <c r="W57" s="1560"/>
      <c r="X57" s="1290"/>
      <c r="Y57" s="1290"/>
      <c r="Z57" s="478"/>
      <c r="AA57" s="1290"/>
      <c r="AB57" s="1290"/>
      <c r="AC57" s="1290"/>
      <c r="AD57" s="1290"/>
      <c r="AE57" s="1290"/>
      <c r="AF57" s="1556"/>
      <c r="AG57" s="556"/>
      <c r="AH57" s="556"/>
      <c r="AI57" s="556"/>
      <c r="AJ57" s="556"/>
      <c r="AK57" s="1565">
        <v>11</v>
      </c>
    </row>
    <row r="58" spans="1:37" s="1565" customFormat="1" ht="11.45" customHeight="1">
      <c r="A58" s="914"/>
      <c r="B58" s="914"/>
      <c r="C58" s="914"/>
      <c r="D58" s="914"/>
      <c r="E58" s="914"/>
      <c r="F58" s="1560"/>
      <c r="G58" s="1560"/>
      <c r="H58" s="285"/>
      <c r="N58" s="1290"/>
      <c r="P58" s="1290"/>
      <c r="Q58" s="1560"/>
      <c r="R58" s="1560"/>
      <c r="S58" s="1290"/>
      <c r="T58" s="1290"/>
      <c r="U58" s="1290"/>
      <c r="V58" s="1290"/>
      <c r="W58" s="1560"/>
      <c r="X58" s="1290"/>
      <c r="Y58" s="1290"/>
      <c r="Z58" s="478"/>
      <c r="AA58" s="1290"/>
      <c r="AB58" s="1290"/>
      <c r="AC58" s="1290"/>
      <c r="AD58" s="1290"/>
      <c r="AE58" s="1290"/>
      <c r="AF58" s="1556"/>
      <c r="AG58" s="556"/>
      <c r="AH58" s="556"/>
      <c r="AI58" s="556"/>
      <c r="AJ58" s="556"/>
      <c r="AK58" s="1565">
        <v>11</v>
      </c>
    </row>
    <row r="59" spans="1:37" s="1565" customFormat="1" ht="11.45" customHeight="1">
      <c r="A59" s="914"/>
      <c r="B59" s="914"/>
      <c r="C59" s="914"/>
      <c r="D59" s="914"/>
      <c r="E59" s="914"/>
      <c r="F59" s="1560"/>
      <c r="G59" s="1560"/>
      <c r="H59" s="285"/>
      <c r="N59" s="1290"/>
      <c r="P59" s="1290"/>
      <c r="Q59" s="1560"/>
      <c r="R59" s="1560"/>
      <c r="S59" s="1290"/>
      <c r="T59" s="1290"/>
      <c r="U59" s="1290"/>
      <c r="V59" s="1290"/>
      <c r="W59" s="1560"/>
      <c r="X59" s="1290"/>
      <c r="Y59" s="1290"/>
      <c r="Z59" s="478"/>
      <c r="AA59" s="1290"/>
      <c r="AB59" s="1290"/>
      <c r="AC59" s="1290"/>
      <c r="AD59" s="1290"/>
      <c r="AE59" s="1290"/>
      <c r="AF59" s="1556"/>
      <c r="AG59" s="556"/>
      <c r="AH59" s="556"/>
      <c r="AI59" s="556"/>
      <c r="AJ59" s="556"/>
      <c r="AK59" s="1565">
        <v>11</v>
      </c>
    </row>
    <row r="60" spans="1:37" s="1565" customFormat="1" ht="11.45" customHeight="1">
      <c r="A60" s="914"/>
      <c r="B60" s="914"/>
      <c r="C60" s="914"/>
      <c r="D60" s="914"/>
      <c r="E60" s="914"/>
      <c r="F60" s="1560"/>
      <c r="G60" s="1560"/>
      <c r="H60" s="285"/>
      <c r="N60" s="1290"/>
      <c r="P60" s="1290"/>
      <c r="Q60" s="1560"/>
      <c r="R60" s="1560"/>
      <c r="S60" s="1290"/>
      <c r="T60" s="1290"/>
      <c r="U60" s="1290"/>
      <c r="V60" s="1290"/>
      <c r="W60" s="1560"/>
      <c r="X60" s="1290"/>
      <c r="Y60" s="1290"/>
      <c r="Z60" s="478"/>
      <c r="AA60" s="1290"/>
      <c r="AB60" s="1290"/>
      <c r="AC60" s="1290"/>
      <c r="AD60" s="1290"/>
      <c r="AE60" s="1290"/>
      <c r="AF60" s="1556"/>
      <c r="AG60" s="556"/>
      <c r="AH60" s="556"/>
      <c r="AI60" s="556"/>
      <c r="AJ60" s="556"/>
      <c r="AK60" s="1565">
        <v>11</v>
      </c>
    </row>
    <row r="61" spans="1:37" s="1565" customFormat="1" ht="11.45" customHeight="1">
      <c r="A61" s="914"/>
      <c r="B61" s="914"/>
      <c r="C61" s="914"/>
      <c r="D61" s="914"/>
      <c r="E61" s="914"/>
      <c r="F61" s="1560"/>
      <c r="G61" s="1560"/>
      <c r="H61" s="285"/>
      <c r="N61" s="1290"/>
      <c r="P61" s="1290"/>
      <c r="Q61" s="1560"/>
      <c r="R61" s="1560"/>
      <c r="S61" s="1290"/>
      <c r="T61" s="1290"/>
      <c r="U61" s="1290"/>
      <c r="V61" s="1290"/>
      <c r="W61" s="1560"/>
      <c r="X61" s="1290"/>
      <c r="Y61" s="1290"/>
      <c r="Z61" s="478"/>
      <c r="AA61" s="1290"/>
      <c r="AB61" s="1290"/>
      <c r="AC61" s="1290"/>
      <c r="AD61" s="1290"/>
      <c r="AE61" s="1290"/>
      <c r="AF61" s="1556"/>
      <c r="AG61" s="556"/>
      <c r="AH61" s="556"/>
      <c r="AI61" s="556"/>
      <c r="AJ61" s="556"/>
      <c r="AK61" s="1565">
        <v>11</v>
      </c>
    </row>
    <row r="62" spans="1:37" s="1565" customFormat="1" ht="11.45" customHeight="1">
      <c r="A62" s="914"/>
      <c r="B62" s="914"/>
      <c r="C62" s="914"/>
      <c r="D62" s="914"/>
      <c r="E62" s="914"/>
      <c r="F62" s="1560"/>
      <c r="G62" s="1560"/>
      <c r="H62" s="285"/>
      <c r="N62" s="1290"/>
      <c r="P62" s="1290"/>
      <c r="Q62" s="1560"/>
      <c r="R62" s="1560"/>
      <c r="S62" s="1290"/>
      <c r="T62" s="1290"/>
      <c r="U62" s="1290"/>
      <c r="V62" s="1290"/>
      <c r="W62" s="1560"/>
      <c r="X62" s="1290"/>
      <c r="Y62" s="1290"/>
      <c r="Z62" s="478"/>
      <c r="AA62" s="1290"/>
      <c r="AB62" s="1290"/>
      <c r="AC62" s="1290"/>
      <c r="AD62" s="1290"/>
      <c r="AE62" s="1290"/>
      <c r="AF62" s="1556"/>
      <c r="AG62" s="556"/>
      <c r="AH62" s="556"/>
      <c r="AI62" s="556"/>
      <c r="AJ62" s="556"/>
      <c r="AK62" s="1565">
        <v>11</v>
      </c>
    </row>
    <row r="63" spans="1:37" s="1565" customFormat="1" ht="11.45" customHeight="1">
      <c r="A63" s="914"/>
      <c r="B63" s="914"/>
      <c r="C63" s="914"/>
      <c r="D63" s="914"/>
      <c r="E63" s="914"/>
      <c r="F63" s="1560"/>
      <c r="G63" s="1560"/>
      <c r="H63" s="285"/>
      <c r="N63" s="1290"/>
      <c r="P63" s="1290"/>
      <c r="Q63" s="1560"/>
      <c r="R63" s="1560"/>
      <c r="S63" s="1290"/>
      <c r="T63" s="1290"/>
      <c r="U63" s="1290"/>
      <c r="V63" s="1290"/>
      <c r="W63" s="1560"/>
      <c r="X63" s="1290"/>
      <c r="Y63" s="1290"/>
      <c r="Z63" s="478"/>
      <c r="AA63" s="1290"/>
      <c r="AB63" s="1290"/>
      <c r="AC63" s="1290"/>
      <c r="AD63" s="1290"/>
      <c r="AE63" s="1290"/>
      <c r="AF63" s="1556"/>
      <c r="AG63" s="556"/>
      <c r="AH63" s="556"/>
      <c r="AI63" s="556"/>
      <c r="AJ63" s="556"/>
      <c r="AK63" s="1565">
        <v>11</v>
      </c>
    </row>
    <row r="64" spans="1:37" s="1565" customFormat="1" ht="11.45" customHeight="1">
      <c r="A64" s="914"/>
      <c r="B64" s="914"/>
      <c r="C64" s="914"/>
      <c r="D64" s="914"/>
      <c r="E64" s="914"/>
      <c r="F64" s="1560"/>
      <c r="G64" s="1560"/>
      <c r="H64" s="285"/>
      <c r="N64" s="1290"/>
      <c r="P64" s="1290"/>
      <c r="Q64" s="1560"/>
      <c r="R64" s="1560"/>
      <c r="S64" s="1290"/>
      <c r="T64" s="1290"/>
      <c r="U64" s="1290"/>
      <c r="V64" s="1290"/>
      <c r="W64" s="1560"/>
      <c r="X64" s="1290"/>
      <c r="Y64" s="1290"/>
      <c r="Z64" s="478"/>
      <c r="AA64" s="1290"/>
      <c r="AB64" s="1290"/>
      <c r="AC64" s="1290"/>
      <c r="AD64" s="1290"/>
      <c r="AE64" s="1290"/>
      <c r="AF64" s="1556"/>
      <c r="AG64" s="556"/>
      <c r="AH64" s="556"/>
      <c r="AI64" s="556"/>
      <c r="AJ64" s="556"/>
      <c r="AK64" s="1565">
        <v>11</v>
      </c>
    </row>
    <row r="65" spans="1:37" s="1565" customFormat="1" ht="11.45" customHeight="1">
      <c r="A65" s="914"/>
      <c r="B65" s="914"/>
      <c r="C65" s="914"/>
      <c r="D65" s="914"/>
      <c r="E65" s="914"/>
      <c r="F65" s="1560"/>
      <c r="G65" s="1560"/>
      <c r="H65" s="285"/>
      <c r="N65" s="1290"/>
      <c r="P65" s="1290"/>
      <c r="Q65" s="1560"/>
      <c r="R65" s="1560"/>
      <c r="S65" s="1290"/>
      <c r="T65" s="1290"/>
      <c r="U65" s="1290"/>
      <c r="V65" s="1290"/>
      <c r="W65" s="1560"/>
      <c r="X65" s="1290"/>
      <c r="Y65" s="1290"/>
      <c r="Z65" s="478"/>
      <c r="AA65" s="1290"/>
      <c r="AB65" s="1290"/>
      <c r="AC65" s="1290"/>
      <c r="AD65" s="1290"/>
      <c r="AE65" s="1290"/>
      <c r="AF65" s="1556"/>
      <c r="AG65" s="556"/>
      <c r="AH65" s="556"/>
      <c r="AI65" s="556"/>
      <c r="AJ65" s="556"/>
      <c r="AK65" s="1565">
        <v>11</v>
      </c>
    </row>
    <row r="66" spans="1:37" s="1565" customFormat="1" ht="11.45" customHeight="1">
      <c r="A66" s="914"/>
      <c r="B66" s="914"/>
      <c r="C66" s="914"/>
      <c r="D66" s="914"/>
      <c r="E66" s="914"/>
      <c r="F66" s="1560"/>
      <c r="G66" s="1560"/>
      <c r="H66" s="285"/>
      <c r="N66" s="1290"/>
      <c r="P66" s="1290"/>
      <c r="Q66" s="1560"/>
      <c r="R66" s="1560"/>
      <c r="S66" s="1290"/>
      <c r="T66" s="1290"/>
      <c r="U66" s="1290"/>
      <c r="V66" s="1290"/>
      <c r="W66" s="1560"/>
      <c r="X66" s="1290"/>
      <c r="Y66" s="1290"/>
      <c r="Z66" s="478"/>
      <c r="AA66" s="1290"/>
      <c r="AB66" s="1290"/>
      <c r="AC66" s="1290"/>
      <c r="AD66" s="1290"/>
      <c r="AE66" s="1290"/>
      <c r="AF66" s="1556"/>
      <c r="AG66" s="556"/>
      <c r="AH66" s="556"/>
      <c r="AI66" s="556"/>
      <c r="AJ66" s="556"/>
      <c r="AK66" s="1565">
        <v>11</v>
      </c>
    </row>
    <row r="67" spans="1:37" s="1565" customFormat="1" ht="11.45" customHeight="1">
      <c r="A67" s="914"/>
      <c r="B67" s="914"/>
      <c r="C67" s="914"/>
      <c r="D67" s="914"/>
      <c r="E67" s="914"/>
      <c r="F67" s="1560"/>
      <c r="G67" s="1560"/>
      <c r="H67" s="285"/>
      <c r="N67" s="1290"/>
      <c r="P67" s="1290"/>
      <c r="Q67" s="1560"/>
      <c r="R67" s="1560"/>
      <c r="S67" s="1290"/>
      <c r="T67" s="1290"/>
      <c r="U67" s="1290"/>
      <c r="V67" s="1290"/>
      <c r="W67" s="1560"/>
      <c r="X67" s="1290"/>
      <c r="Y67" s="1290"/>
      <c r="Z67" s="478"/>
      <c r="AA67" s="1290"/>
      <c r="AB67" s="1290"/>
      <c r="AC67" s="1290"/>
      <c r="AD67" s="1290"/>
      <c r="AE67" s="1290"/>
      <c r="AF67" s="1556"/>
      <c r="AG67" s="556"/>
      <c r="AH67" s="556"/>
      <c r="AI67" s="556"/>
      <c r="AJ67" s="556"/>
      <c r="AK67" s="1565">
        <v>11</v>
      </c>
    </row>
    <row r="68" spans="1:37" s="1565" customFormat="1" ht="11.45" customHeight="1">
      <c r="A68" s="914"/>
      <c r="B68" s="914"/>
      <c r="C68" s="914"/>
      <c r="D68" s="914"/>
      <c r="E68" s="914"/>
      <c r="F68" s="1560"/>
      <c r="G68" s="1560"/>
      <c r="H68" s="285"/>
      <c r="N68" s="1290"/>
      <c r="P68" s="1290"/>
      <c r="Q68" s="1560"/>
      <c r="R68" s="1560"/>
      <c r="S68" s="1290"/>
      <c r="T68" s="1290"/>
      <c r="U68" s="1290"/>
      <c r="V68" s="1290"/>
      <c r="W68" s="1560"/>
      <c r="X68" s="1290"/>
      <c r="Y68" s="1290"/>
      <c r="Z68" s="478"/>
      <c r="AA68" s="1290"/>
      <c r="AB68" s="1290"/>
      <c r="AC68" s="1290"/>
      <c r="AD68" s="1290"/>
      <c r="AE68" s="1290"/>
      <c r="AF68" s="1556"/>
      <c r="AG68" s="556"/>
      <c r="AH68" s="556"/>
      <c r="AI68" s="556"/>
      <c r="AJ68" s="556"/>
      <c r="AK68" s="1565">
        <v>11</v>
      </c>
    </row>
    <row r="69" spans="1:37" s="1565" customFormat="1" ht="11.45" customHeight="1">
      <c r="A69" s="914"/>
      <c r="B69" s="914"/>
      <c r="C69" s="914"/>
      <c r="D69" s="914"/>
      <c r="E69" s="914"/>
      <c r="F69" s="1560"/>
      <c r="G69" s="1560"/>
      <c r="H69" s="285"/>
      <c r="N69" s="1290"/>
      <c r="P69" s="1290"/>
      <c r="Q69" s="1560"/>
      <c r="R69" s="1560"/>
      <c r="S69" s="1290"/>
      <c r="T69" s="1290"/>
      <c r="U69" s="1290"/>
      <c r="V69" s="1290"/>
      <c r="W69" s="1560"/>
      <c r="X69" s="1290"/>
      <c r="Y69" s="1290"/>
      <c r="Z69" s="478"/>
      <c r="AA69" s="1290"/>
      <c r="AB69" s="1290"/>
      <c r="AC69" s="1290"/>
      <c r="AD69" s="1290"/>
      <c r="AE69" s="1290"/>
      <c r="AF69" s="1556"/>
      <c r="AG69" s="556"/>
      <c r="AH69" s="556"/>
      <c r="AI69" s="556"/>
      <c r="AJ69" s="556"/>
      <c r="AK69" s="1565">
        <v>11</v>
      </c>
    </row>
    <row r="70" spans="1:37" s="1565" customFormat="1" ht="11.45" customHeight="1">
      <c r="A70" s="914"/>
      <c r="B70" s="914"/>
      <c r="C70" s="914"/>
      <c r="D70" s="914"/>
      <c r="E70" s="914"/>
      <c r="F70" s="1560"/>
      <c r="G70" s="1560"/>
      <c r="H70" s="285"/>
      <c r="N70" s="1290"/>
      <c r="P70" s="1290"/>
      <c r="Q70" s="1560"/>
      <c r="R70" s="1560"/>
      <c r="S70" s="1290"/>
      <c r="T70" s="1290"/>
      <c r="U70" s="1290"/>
      <c r="V70" s="1290"/>
      <c r="W70" s="1560"/>
      <c r="X70" s="1290"/>
      <c r="Y70" s="1290"/>
      <c r="Z70" s="478"/>
      <c r="AA70" s="1290"/>
      <c r="AB70" s="1290"/>
      <c r="AC70" s="1290"/>
      <c r="AD70" s="1290"/>
      <c r="AE70" s="1290"/>
      <c r="AF70" s="1556"/>
      <c r="AG70" s="556"/>
      <c r="AH70" s="556"/>
      <c r="AI70" s="556"/>
      <c r="AJ70" s="556"/>
      <c r="AK70" s="1565">
        <v>11</v>
      </c>
    </row>
    <row r="71" spans="1:37" s="1565" customFormat="1" ht="11.45" customHeight="1">
      <c r="A71" s="914"/>
      <c r="B71" s="914"/>
      <c r="C71" s="914"/>
      <c r="D71" s="914"/>
      <c r="E71" s="914"/>
      <c r="F71" s="1560"/>
      <c r="G71" s="1560"/>
      <c r="H71" s="285"/>
      <c r="N71" s="1290"/>
      <c r="P71" s="1290"/>
      <c r="Q71" s="1560"/>
      <c r="R71" s="1560"/>
      <c r="S71" s="1290"/>
      <c r="T71" s="1290"/>
      <c r="U71" s="1290"/>
      <c r="V71" s="1290"/>
      <c r="W71" s="1560"/>
      <c r="X71" s="1290"/>
      <c r="Y71" s="1290"/>
      <c r="Z71" s="478"/>
      <c r="AA71" s="1290"/>
      <c r="AB71" s="1290"/>
      <c r="AC71" s="1290"/>
      <c r="AD71" s="1290"/>
      <c r="AE71" s="1290"/>
      <c r="AF71" s="1556"/>
      <c r="AG71" s="556"/>
      <c r="AH71" s="556"/>
      <c r="AI71" s="556"/>
      <c r="AJ71" s="556"/>
      <c r="AK71" s="1565">
        <v>11</v>
      </c>
    </row>
    <row r="72" spans="1:37" s="1565" customFormat="1" ht="11.45" customHeight="1">
      <c r="A72" s="914"/>
      <c r="B72" s="914"/>
      <c r="C72" s="914"/>
      <c r="D72" s="914"/>
      <c r="E72" s="914"/>
      <c r="F72" s="1560"/>
      <c r="G72" s="1560"/>
      <c r="H72" s="285"/>
      <c r="N72" s="1290"/>
      <c r="P72" s="1290"/>
      <c r="Q72" s="1560"/>
      <c r="R72" s="1560"/>
      <c r="S72" s="1290"/>
      <c r="T72" s="1290"/>
      <c r="U72" s="1290"/>
      <c r="V72" s="1290"/>
      <c r="W72" s="1560"/>
      <c r="X72" s="1290"/>
      <c r="Y72" s="1290"/>
      <c r="Z72" s="478"/>
      <c r="AA72" s="1290"/>
      <c r="AB72" s="1290"/>
      <c r="AC72" s="1290"/>
      <c r="AD72" s="1290"/>
      <c r="AE72" s="1290"/>
      <c r="AF72" s="1556"/>
      <c r="AG72" s="556"/>
      <c r="AH72" s="556"/>
      <c r="AI72" s="556"/>
      <c r="AJ72" s="556"/>
      <c r="AK72" s="1565">
        <v>11</v>
      </c>
    </row>
    <row r="73" spans="1:37" s="1565" customFormat="1" ht="11.45" customHeight="1">
      <c r="A73" s="914"/>
      <c r="B73" s="914"/>
      <c r="C73" s="914"/>
      <c r="D73" s="914"/>
      <c r="E73" s="914"/>
      <c r="F73" s="1560"/>
      <c r="G73" s="1560"/>
      <c r="H73" s="285"/>
      <c r="N73" s="1290"/>
      <c r="P73" s="1290"/>
      <c r="Q73" s="1560"/>
      <c r="R73" s="1560"/>
      <c r="S73" s="1290"/>
      <c r="T73" s="1290"/>
      <c r="U73" s="1290"/>
      <c r="V73" s="1290"/>
      <c r="W73" s="1560"/>
      <c r="X73" s="1290"/>
      <c r="Y73" s="1290"/>
      <c r="Z73" s="478"/>
      <c r="AA73" s="1290"/>
      <c r="AB73" s="1290"/>
      <c r="AC73" s="1290"/>
      <c r="AD73" s="1290"/>
      <c r="AE73" s="1290"/>
      <c r="AF73" s="1556"/>
      <c r="AG73" s="556"/>
      <c r="AH73" s="556"/>
      <c r="AI73" s="556"/>
      <c r="AJ73" s="556"/>
      <c r="AK73" s="1565">
        <v>11</v>
      </c>
    </row>
    <row r="74" spans="1:37" s="1565" customFormat="1" ht="11.45" customHeight="1">
      <c r="A74" s="914"/>
      <c r="B74" s="914"/>
      <c r="C74" s="914"/>
      <c r="D74" s="914"/>
      <c r="E74" s="914"/>
      <c r="F74" s="1560"/>
      <c r="G74" s="1560"/>
      <c r="H74" s="285"/>
      <c r="N74" s="1290"/>
      <c r="P74" s="1290"/>
      <c r="Q74" s="1560"/>
      <c r="R74" s="1560"/>
      <c r="S74" s="1290"/>
      <c r="T74" s="1290"/>
      <c r="U74" s="1290"/>
      <c r="V74" s="1290"/>
      <c r="W74" s="1560"/>
      <c r="X74" s="1290"/>
      <c r="Y74" s="1290"/>
      <c r="Z74" s="478"/>
      <c r="AA74" s="1290"/>
      <c r="AB74" s="1290"/>
      <c r="AC74" s="1290"/>
      <c r="AD74" s="1290"/>
      <c r="AE74" s="1290"/>
      <c r="AF74" s="1556"/>
      <c r="AG74" s="556"/>
      <c r="AH74" s="556"/>
      <c r="AI74" s="556"/>
      <c r="AJ74" s="556"/>
      <c r="AK74" s="1565">
        <v>11</v>
      </c>
    </row>
    <row r="75" spans="1:37" s="1565" customFormat="1" ht="11.45" customHeight="1">
      <c r="A75" s="914"/>
      <c r="B75" s="914"/>
      <c r="C75" s="914"/>
      <c r="D75" s="914"/>
      <c r="E75" s="914"/>
      <c r="F75" s="1560"/>
      <c r="G75" s="1560"/>
      <c r="H75" s="285"/>
      <c r="N75" s="1290"/>
      <c r="P75" s="1290"/>
      <c r="Q75" s="1560"/>
      <c r="R75" s="1560"/>
      <c r="S75" s="1290"/>
      <c r="T75" s="1290"/>
      <c r="U75" s="1290"/>
      <c r="V75" s="1290"/>
      <c r="W75" s="1560"/>
      <c r="X75" s="1290"/>
      <c r="Y75" s="1290"/>
      <c r="Z75" s="478"/>
      <c r="AA75" s="1290"/>
      <c r="AB75" s="1290"/>
      <c r="AC75" s="1290"/>
      <c r="AD75" s="1290"/>
      <c r="AE75" s="1290"/>
      <c r="AF75" s="1556"/>
      <c r="AG75" s="556"/>
      <c r="AH75" s="556"/>
      <c r="AI75" s="556"/>
      <c r="AJ75" s="556"/>
      <c r="AK75" s="1565">
        <v>11</v>
      </c>
    </row>
    <row r="76" spans="1:37" s="1565" customFormat="1" ht="11.45" customHeight="1">
      <c r="A76" s="914"/>
      <c r="B76" s="914"/>
      <c r="C76" s="914"/>
      <c r="D76" s="914"/>
      <c r="E76" s="914"/>
      <c r="F76" s="1560"/>
      <c r="G76" s="1560"/>
      <c r="H76" s="285"/>
      <c r="N76" s="1290"/>
      <c r="P76" s="1290"/>
      <c r="Q76" s="1560"/>
      <c r="R76" s="1560"/>
      <c r="S76" s="1290"/>
      <c r="T76" s="1290"/>
      <c r="U76" s="1290"/>
      <c r="V76" s="1290"/>
      <c r="W76" s="1560"/>
      <c r="X76" s="1290"/>
      <c r="Y76" s="1290"/>
      <c r="Z76" s="478"/>
      <c r="AA76" s="1290"/>
      <c r="AB76" s="1290"/>
      <c r="AC76" s="1290"/>
      <c r="AD76" s="1290"/>
      <c r="AE76" s="1290"/>
      <c r="AF76" s="1556"/>
      <c r="AG76" s="556"/>
      <c r="AH76" s="556"/>
      <c r="AI76" s="556"/>
      <c r="AJ76" s="556"/>
      <c r="AK76" s="1565">
        <v>11</v>
      </c>
    </row>
    <row r="77" spans="1:37" s="1565" customFormat="1" ht="11.45" customHeight="1">
      <c r="A77" s="914"/>
      <c r="B77" s="914"/>
      <c r="C77" s="914"/>
      <c r="D77" s="914"/>
      <c r="E77" s="914"/>
      <c r="F77" s="1560"/>
      <c r="G77" s="1560"/>
      <c r="H77" s="285"/>
      <c r="N77" s="1290"/>
      <c r="P77" s="1290"/>
      <c r="Q77" s="1560"/>
      <c r="R77" s="1560"/>
      <c r="S77" s="1290"/>
      <c r="T77" s="1290"/>
      <c r="U77" s="1290"/>
      <c r="V77" s="1290"/>
      <c r="W77" s="1560"/>
      <c r="X77" s="1290"/>
      <c r="Y77" s="1290"/>
      <c r="Z77" s="478"/>
      <c r="AA77" s="1290"/>
      <c r="AB77" s="1290"/>
      <c r="AC77" s="1290"/>
      <c r="AD77" s="1290"/>
      <c r="AE77" s="1290"/>
      <c r="AF77" s="1556"/>
      <c r="AG77" s="556"/>
      <c r="AH77" s="556"/>
      <c r="AI77" s="556"/>
      <c r="AJ77" s="556"/>
      <c r="AK77" s="1565">
        <v>11</v>
      </c>
    </row>
    <row r="78" spans="1:37" s="1565" customFormat="1" ht="11.45" customHeight="1">
      <c r="A78" s="914"/>
      <c r="B78" s="914"/>
      <c r="C78" s="914"/>
      <c r="D78" s="914"/>
      <c r="E78" s="914"/>
      <c r="F78" s="1560"/>
      <c r="G78" s="1560"/>
      <c r="H78" s="285"/>
      <c r="N78" s="1290"/>
      <c r="P78" s="1290"/>
      <c r="Q78" s="1560"/>
      <c r="R78" s="1560"/>
      <c r="S78" s="1290"/>
      <c r="T78" s="1290"/>
      <c r="U78" s="1290"/>
      <c r="V78" s="1290"/>
      <c r="W78" s="1560"/>
      <c r="X78" s="1290"/>
      <c r="Y78" s="1290"/>
      <c r="Z78" s="478"/>
      <c r="AA78" s="1290"/>
      <c r="AB78" s="1290"/>
      <c r="AC78" s="1290"/>
      <c r="AD78" s="1290"/>
      <c r="AE78" s="1290"/>
      <c r="AF78" s="1556"/>
      <c r="AG78" s="556"/>
      <c r="AH78" s="556"/>
      <c r="AI78" s="556"/>
      <c r="AJ78" s="556"/>
      <c r="AK78" s="1565">
        <v>11</v>
      </c>
    </row>
    <row r="79" spans="1:37" s="1565" customFormat="1" ht="11.45" customHeight="1">
      <c r="A79" s="914"/>
      <c r="B79" s="914"/>
      <c r="C79" s="914"/>
      <c r="D79" s="914"/>
      <c r="E79" s="914"/>
      <c r="F79" s="1560"/>
      <c r="G79" s="1560"/>
      <c r="H79" s="285"/>
      <c r="N79" s="1290"/>
      <c r="P79" s="1290"/>
      <c r="Q79" s="1560"/>
      <c r="R79" s="1560"/>
      <c r="S79" s="1290"/>
      <c r="T79" s="1290"/>
      <c r="U79" s="1290"/>
      <c r="V79" s="1290"/>
      <c r="W79" s="1560"/>
      <c r="X79" s="1290"/>
      <c r="Y79" s="1290"/>
      <c r="Z79" s="478"/>
      <c r="AA79" s="1290"/>
      <c r="AB79" s="1290"/>
      <c r="AC79" s="1290"/>
      <c r="AD79" s="1290"/>
      <c r="AE79" s="1290"/>
      <c r="AF79" s="1556"/>
      <c r="AG79" s="556"/>
      <c r="AH79" s="556"/>
      <c r="AI79" s="556"/>
      <c r="AJ79" s="556"/>
      <c r="AK79" s="1565">
        <v>11</v>
      </c>
    </row>
    <row r="80" spans="1:37" s="1565" customFormat="1" ht="11.45" customHeight="1">
      <c r="A80" s="914"/>
      <c r="B80" s="914"/>
      <c r="C80" s="914"/>
      <c r="D80" s="914"/>
      <c r="E80" s="914"/>
      <c r="F80" s="1560"/>
      <c r="G80" s="1560"/>
      <c r="H80" s="285"/>
      <c r="N80" s="1290"/>
      <c r="P80" s="1290"/>
      <c r="Q80" s="1560"/>
      <c r="R80" s="1560"/>
      <c r="S80" s="1290"/>
      <c r="T80" s="1290"/>
      <c r="U80" s="1290"/>
      <c r="V80" s="1290"/>
      <c r="W80" s="1560"/>
      <c r="X80" s="1290"/>
      <c r="Y80" s="1290"/>
      <c r="Z80" s="478"/>
      <c r="AA80" s="1290"/>
      <c r="AB80" s="1290"/>
      <c r="AC80" s="1290"/>
      <c r="AD80" s="1290"/>
      <c r="AE80" s="1290"/>
      <c r="AF80" s="1556"/>
      <c r="AG80" s="556"/>
      <c r="AH80" s="556"/>
      <c r="AI80" s="556"/>
      <c r="AJ80" s="556"/>
      <c r="AK80" s="1565">
        <v>11</v>
      </c>
    </row>
    <row r="81" spans="1:37" s="1565" customFormat="1" ht="11.45" customHeight="1">
      <c r="A81" s="914"/>
      <c r="B81" s="914"/>
      <c r="C81" s="914"/>
      <c r="D81" s="914"/>
      <c r="E81" s="914"/>
      <c r="F81" s="1560"/>
      <c r="G81" s="1560"/>
      <c r="H81" s="285"/>
      <c r="N81" s="1290"/>
      <c r="P81" s="1290"/>
      <c r="Q81" s="1560"/>
      <c r="R81" s="1560"/>
      <c r="S81" s="1290"/>
      <c r="T81" s="1290"/>
      <c r="U81" s="1290"/>
      <c r="V81" s="1290"/>
      <c r="W81" s="1560"/>
      <c r="X81" s="1290"/>
      <c r="Y81" s="1290"/>
      <c r="Z81" s="478"/>
      <c r="AA81" s="1290"/>
      <c r="AB81" s="1290"/>
      <c r="AC81" s="1290"/>
      <c r="AD81" s="1290"/>
      <c r="AE81" s="1290"/>
      <c r="AF81" s="1556"/>
      <c r="AG81" s="556"/>
      <c r="AH81" s="556"/>
      <c r="AI81" s="556"/>
      <c r="AJ81" s="556"/>
      <c r="AK81" s="1565">
        <v>11</v>
      </c>
    </row>
    <row r="82" spans="1:37" s="1565" customFormat="1" ht="11.45" customHeight="1">
      <c r="A82" s="914"/>
      <c r="B82" s="914"/>
      <c r="C82" s="914"/>
      <c r="D82" s="914"/>
      <c r="E82" s="914"/>
      <c r="F82" s="1560"/>
      <c r="G82" s="1560"/>
      <c r="H82" s="285"/>
      <c r="N82" s="1290"/>
      <c r="P82" s="1290"/>
      <c r="Q82" s="1560"/>
      <c r="R82" s="1560"/>
      <c r="S82" s="1290"/>
      <c r="T82" s="1290"/>
      <c r="U82" s="1290"/>
      <c r="V82" s="1290"/>
      <c r="W82" s="1560"/>
      <c r="X82" s="1290"/>
      <c r="Y82" s="1290"/>
      <c r="Z82" s="478"/>
      <c r="AA82" s="1290"/>
      <c r="AB82" s="1290"/>
      <c r="AC82" s="1290"/>
      <c r="AD82" s="1290"/>
      <c r="AE82" s="1290"/>
      <c r="AF82" s="1556"/>
      <c r="AG82" s="556"/>
      <c r="AH82" s="556"/>
      <c r="AI82" s="556"/>
      <c r="AJ82" s="556"/>
      <c r="AK82" s="1565">
        <v>11</v>
      </c>
    </row>
    <row r="83" spans="1:37" s="1565" customFormat="1" ht="11.45" customHeight="1">
      <c r="A83" s="914"/>
      <c r="B83" s="914"/>
      <c r="C83" s="914"/>
      <c r="D83" s="914"/>
      <c r="E83" s="914"/>
      <c r="F83" s="1560"/>
      <c r="G83" s="1560"/>
      <c r="H83" s="285"/>
      <c r="N83" s="1290"/>
      <c r="P83" s="1290"/>
      <c r="Q83" s="1560"/>
      <c r="R83" s="1560"/>
      <c r="S83" s="1290"/>
      <c r="T83" s="1290"/>
      <c r="U83" s="1290"/>
      <c r="V83" s="1290"/>
      <c r="W83" s="1560"/>
      <c r="X83" s="1290"/>
      <c r="Y83" s="1290"/>
      <c r="Z83" s="478"/>
      <c r="AA83" s="1290"/>
      <c r="AB83" s="1290"/>
      <c r="AC83" s="1290"/>
      <c r="AD83" s="1290"/>
      <c r="AE83" s="1290"/>
      <c r="AF83" s="1556"/>
      <c r="AG83" s="556"/>
      <c r="AH83" s="556"/>
      <c r="AI83" s="556"/>
      <c r="AJ83" s="556"/>
      <c r="AK83" s="1565">
        <v>11</v>
      </c>
    </row>
    <row r="84" spans="1:37" s="1565" customFormat="1" ht="11.45" customHeight="1">
      <c r="A84" s="914"/>
      <c r="B84" s="914"/>
      <c r="C84" s="914"/>
      <c r="D84" s="914"/>
      <c r="E84" s="914"/>
      <c r="F84" s="1560"/>
      <c r="G84" s="1560"/>
      <c r="H84" s="285"/>
      <c r="N84" s="1290"/>
      <c r="P84" s="1290"/>
      <c r="Q84" s="1560"/>
      <c r="R84" s="1560"/>
      <c r="S84" s="1290"/>
      <c r="T84" s="1290"/>
      <c r="U84" s="1290"/>
      <c r="V84" s="1290"/>
      <c r="W84" s="1560"/>
      <c r="X84" s="1290"/>
      <c r="Y84" s="1290"/>
      <c r="Z84" s="478"/>
      <c r="AA84" s="1290"/>
      <c r="AB84" s="1290"/>
      <c r="AC84" s="1290"/>
      <c r="AD84" s="1290"/>
      <c r="AE84" s="1290"/>
      <c r="AF84" s="1556"/>
      <c r="AG84" s="556"/>
      <c r="AH84" s="556"/>
      <c r="AI84" s="556"/>
      <c r="AJ84" s="556"/>
      <c r="AK84" s="1565">
        <v>11</v>
      </c>
    </row>
    <row r="85" spans="1:37" s="1565" customFormat="1" ht="11.45" customHeight="1">
      <c r="A85" s="914"/>
      <c r="B85" s="914"/>
      <c r="C85" s="914"/>
      <c r="D85" s="914"/>
      <c r="E85" s="914"/>
      <c r="F85" s="1560"/>
      <c r="G85" s="1560"/>
      <c r="H85" s="285"/>
      <c r="N85" s="1290"/>
      <c r="P85" s="1290"/>
      <c r="Q85" s="1560"/>
      <c r="R85" s="1560"/>
      <c r="S85" s="1290"/>
      <c r="T85" s="1290"/>
      <c r="U85" s="1290"/>
      <c r="V85" s="1290"/>
      <c r="W85" s="1560"/>
      <c r="X85" s="1290"/>
      <c r="Y85" s="1290"/>
      <c r="Z85" s="478"/>
      <c r="AA85" s="1290"/>
      <c r="AB85" s="1290"/>
      <c r="AC85" s="1290"/>
      <c r="AD85" s="1290"/>
      <c r="AE85" s="1290"/>
      <c r="AF85" s="1556"/>
      <c r="AG85" s="556"/>
      <c r="AH85" s="556"/>
      <c r="AI85" s="556"/>
      <c r="AJ85" s="556"/>
      <c r="AK85" s="1565">
        <v>11</v>
      </c>
    </row>
    <row r="86" spans="1:37" s="1565" customFormat="1" ht="11.45" customHeight="1">
      <c r="A86" s="914"/>
      <c r="B86" s="914"/>
      <c r="C86" s="914"/>
      <c r="D86" s="914"/>
      <c r="E86" s="914"/>
      <c r="F86" s="1560"/>
      <c r="G86" s="1560"/>
      <c r="H86" s="285"/>
      <c r="N86" s="1290"/>
      <c r="P86" s="1290"/>
      <c r="Q86" s="1560"/>
      <c r="R86" s="1560"/>
      <c r="S86" s="1290"/>
      <c r="T86" s="1290"/>
      <c r="U86" s="1290"/>
      <c r="V86" s="1290"/>
      <c r="W86" s="1560"/>
      <c r="X86" s="1290"/>
      <c r="Y86" s="1290"/>
      <c r="Z86" s="478"/>
      <c r="AA86" s="1290"/>
      <c r="AB86" s="1290"/>
      <c r="AC86" s="1290"/>
      <c r="AD86" s="1290"/>
      <c r="AE86" s="1290"/>
      <c r="AF86" s="1556"/>
      <c r="AG86" s="556"/>
      <c r="AH86" s="556"/>
      <c r="AI86" s="556"/>
      <c r="AJ86" s="556"/>
      <c r="AK86" s="1565">
        <v>11</v>
      </c>
    </row>
    <row r="87" spans="1:37" s="1565" customFormat="1" ht="11.45" customHeight="1">
      <c r="A87" s="914"/>
      <c r="B87" s="914"/>
      <c r="C87" s="914"/>
      <c r="D87" s="914"/>
      <c r="E87" s="914"/>
      <c r="F87" s="1560"/>
      <c r="G87" s="1560"/>
      <c r="H87" s="285"/>
      <c r="N87" s="1290"/>
      <c r="P87" s="1290"/>
      <c r="Q87" s="1560"/>
      <c r="R87" s="1560"/>
      <c r="S87" s="1290"/>
      <c r="T87" s="1290"/>
      <c r="U87" s="1290"/>
      <c r="V87" s="1290"/>
      <c r="W87" s="1560"/>
      <c r="X87" s="1290"/>
      <c r="Y87" s="1290"/>
      <c r="Z87" s="478"/>
      <c r="AA87" s="1290"/>
      <c r="AB87" s="1290"/>
      <c r="AC87" s="1290"/>
      <c r="AD87" s="1290"/>
      <c r="AE87" s="1290"/>
      <c r="AF87" s="1556"/>
      <c r="AG87" s="556"/>
      <c r="AH87" s="556"/>
      <c r="AI87" s="556"/>
      <c r="AJ87" s="556"/>
      <c r="AK87" s="1565">
        <v>11</v>
      </c>
    </row>
    <row r="88" spans="1:37" s="1565" customFormat="1" ht="11.45" customHeight="1">
      <c r="A88" s="914"/>
      <c r="B88" s="914"/>
      <c r="C88" s="914"/>
      <c r="D88" s="914"/>
      <c r="E88" s="914"/>
      <c r="F88" s="1560"/>
      <c r="G88" s="1560"/>
      <c r="H88" s="285"/>
      <c r="N88" s="1290"/>
      <c r="P88" s="1290"/>
      <c r="Q88" s="1560"/>
      <c r="R88" s="1560"/>
      <c r="S88" s="1290"/>
      <c r="T88" s="1290"/>
      <c r="U88" s="1290"/>
      <c r="V88" s="1290"/>
      <c r="W88" s="1560"/>
      <c r="X88" s="1290"/>
      <c r="Y88" s="1290"/>
      <c r="Z88" s="478"/>
      <c r="AA88" s="1290"/>
      <c r="AB88" s="1290"/>
      <c r="AC88" s="1290"/>
      <c r="AD88" s="1290"/>
      <c r="AE88" s="1290"/>
      <c r="AF88" s="1556"/>
      <c r="AG88" s="556"/>
      <c r="AH88" s="556"/>
      <c r="AI88" s="556"/>
      <c r="AJ88" s="556"/>
      <c r="AK88" s="1565">
        <v>11</v>
      </c>
    </row>
    <row r="89" spans="1:37" s="1565" customFormat="1" ht="11.45" customHeight="1">
      <c r="A89" s="914"/>
      <c r="B89" s="914"/>
      <c r="C89" s="914"/>
      <c r="D89" s="914"/>
      <c r="E89" s="914"/>
      <c r="F89" s="1560"/>
      <c r="G89" s="1560"/>
      <c r="H89" s="285"/>
      <c r="N89" s="1290"/>
      <c r="P89" s="1290"/>
      <c r="Q89" s="1560"/>
      <c r="R89" s="1560"/>
      <c r="S89" s="1290"/>
      <c r="T89" s="1290"/>
      <c r="U89" s="1290"/>
      <c r="V89" s="1290"/>
      <c r="W89" s="1560"/>
      <c r="X89" s="1290"/>
      <c r="Y89" s="1290"/>
      <c r="Z89" s="478"/>
      <c r="AA89" s="1290"/>
      <c r="AB89" s="1290"/>
      <c r="AC89" s="1290"/>
      <c r="AD89" s="1290"/>
      <c r="AE89" s="1290"/>
      <c r="AF89" s="1556"/>
      <c r="AG89" s="556"/>
      <c r="AH89" s="556"/>
      <c r="AI89" s="556"/>
      <c r="AJ89" s="556"/>
      <c r="AK89" s="1565">
        <v>11</v>
      </c>
    </row>
    <row r="90" spans="1:37" s="1565" customFormat="1" ht="11.45" customHeight="1">
      <c r="A90" s="914"/>
      <c r="B90" s="914"/>
      <c r="C90" s="914"/>
      <c r="D90" s="914"/>
      <c r="E90" s="914"/>
      <c r="F90" s="1560"/>
      <c r="G90" s="1560"/>
      <c r="H90" s="285"/>
      <c r="N90" s="1290"/>
      <c r="P90" s="1290"/>
      <c r="Q90" s="1560"/>
      <c r="R90" s="1560"/>
      <c r="S90" s="1290"/>
      <c r="T90" s="1290"/>
      <c r="U90" s="1290"/>
      <c r="V90" s="1290"/>
      <c r="W90" s="1560"/>
      <c r="X90" s="1290"/>
      <c r="Y90" s="1290"/>
      <c r="Z90" s="478"/>
      <c r="AA90" s="1290"/>
      <c r="AB90" s="1290"/>
      <c r="AC90" s="1290"/>
      <c r="AD90" s="1290"/>
      <c r="AE90" s="1290"/>
      <c r="AF90" s="1556"/>
      <c r="AG90" s="556"/>
      <c r="AH90" s="556"/>
      <c r="AI90" s="556"/>
      <c r="AJ90" s="556"/>
      <c r="AK90" s="1565">
        <v>11</v>
      </c>
    </row>
    <row r="91" spans="1:37" s="1565" customFormat="1" ht="11.45" customHeight="1">
      <c r="A91" s="914"/>
      <c r="B91" s="914"/>
      <c r="C91" s="914"/>
      <c r="D91" s="914"/>
      <c r="E91" s="914"/>
      <c r="F91" s="1560"/>
      <c r="G91" s="1560"/>
      <c r="H91" s="285"/>
      <c r="N91" s="1290"/>
      <c r="P91" s="1290"/>
      <c r="Q91" s="1560"/>
      <c r="R91" s="1560"/>
      <c r="S91" s="1290"/>
      <c r="T91" s="1290"/>
      <c r="U91" s="1290"/>
      <c r="V91" s="1290"/>
      <c r="W91" s="1560"/>
      <c r="X91" s="1290"/>
      <c r="Y91" s="1290"/>
      <c r="Z91" s="478"/>
      <c r="AA91" s="1290"/>
      <c r="AB91" s="1290"/>
      <c r="AC91" s="1290"/>
      <c r="AD91" s="1290"/>
      <c r="AE91" s="1290"/>
      <c r="AF91" s="1556"/>
      <c r="AG91" s="556"/>
      <c r="AH91" s="556"/>
      <c r="AI91" s="556"/>
      <c r="AJ91" s="556"/>
      <c r="AK91" s="1565">
        <v>11</v>
      </c>
    </row>
    <row r="92" spans="1:37" s="1565" customFormat="1" ht="11.45" customHeight="1">
      <c r="A92" s="914"/>
      <c r="B92" s="914"/>
      <c r="C92" s="914"/>
      <c r="D92" s="914"/>
      <c r="E92" s="914"/>
      <c r="F92" s="1560"/>
      <c r="G92" s="1560"/>
      <c r="H92" s="285"/>
      <c r="N92" s="1290"/>
      <c r="P92" s="1290"/>
      <c r="Q92" s="1560"/>
      <c r="R92" s="1560"/>
      <c r="S92" s="1290"/>
      <c r="T92" s="1290"/>
      <c r="U92" s="1290"/>
      <c r="V92" s="1290"/>
      <c r="W92" s="1560"/>
      <c r="X92" s="1290"/>
      <c r="Y92" s="1290"/>
      <c r="Z92" s="478"/>
      <c r="AA92" s="1290"/>
      <c r="AB92" s="1290"/>
      <c r="AC92" s="1290"/>
      <c r="AD92" s="1290"/>
      <c r="AE92" s="1290"/>
      <c r="AF92" s="1556"/>
      <c r="AG92" s="556"/>
      <c r="AH92" s="556"/>
      <c r="AI92" s="556"/>
      <c r="AJ92" s="556"/>
      <c r="AK92" s="1565">
        <v>11</v>
      </c>
    </row>
    <row r="93" spans="1:37" s="1565" customFormat="1" ht="11.45" customHeight="1">
      <c r="A93" s="914"/>
      <c r="B93" s="914"/>
      <c r="C93" s="914"/>
      <c r="D93" s="914"/>
      <c r="E93" s="914"/>
      <c r="F93" s="1560"/>
      <c r="G93" s="1560"/>
      <c r="H93" s="285"/>
      <c r="N93" s="1290"/>
      <c r="P93" s="1290"/>
      <c r="Q93" s="1560"/>
      <c r="R93" s="1560"/>
      <c r="S93" s="1290"/>
      <c r="T93" s="1290"/>
      <c r="U93" s="1290"/>
      <c r="V93" s="1290"/>
      <c r="W93" s="1560"/>
      <c r="X93" s="1290"/>
      <c r="Y93" s="1290"/>
      <c r="Z93" s="478"/>
      <c r="AA93" s="1290"/>
      <c r="AB93" s="1290"/>
      <c r="AC93" s="1290"/>
      <c r="AD93" s="1290"/>
      <c r="AE93" s="1290"/>
      <c r="AF93" s="1556"/>
      <c r="AG93" s="556"/>
      <c r="AH93" s="556"/>
      <c r="AI93" s="556"/>
      <c r="AJ93" s="556"/>
      <c r="AK93" s="1565">
        <v>11</v>
      </c>
    </row>
    <row r="94" spans="1:37" s="1565" customFormat="1" ht="11.45" customHeight="1">
      <c r="A94" s="914"/>
      <c r="B94" s="914"/>
      <c r="C94" s="914"/>
      <c r="D94" s="914"/>
      <c r="E94" s="914"/>
      <c r="F94" s="1560"/>
      <c r="G94" s="1560"/>
      <c r="H94" s="285"/>
      <c r="N94" s="1290"/>
      <c r="P94" s="1290"/>
      <c r="Q94" s="1560"/>
      <c r="R94" s="1560"/>
      <c r="S94" s="1290"/>
      <c r="T94" s="1290"/>
      <c r="U94" s="1290"/>
      <c r="V94" s="1290"/>
      <c r="W94" s="1560"/>
      <c r="X94" s="1290"/>
      <c r="Y94" s="1290"/>
      <c r="Z94" s="478"/>
      <c r="AA94" s="1290"/>
      <c r="AB94" s="1290"/>
      <c r="AC94" s="1290"/>
      <c r="AD94" s="1290"/>
      <c r="AE94" s="1290"/>
      <c r="AF94" s="1556"/>
      <c r="AG94" s="556"/>
      <c r="AH94" s="556"/>
      <c r="AI94" s="556"/>
      <c r="AJ94" s="556"/>
      <c r="AK94" s="1565">
        <v>11</v>
      </c>
    </row>
    <row r="95" spans="1:37" s="1565" customFormat="1" ht="11.45" customHeight="1">
      <c r="A95" s="914"/>
      <c r="B95" s="914"/>
      <c r="C95" s="914"/>
      <c r="D95" s="914"/>
      <c r="E95" s="914"/>
      <c r="F95" s="1560"/>
      <c r="G95" s="1560"/>
      <c r="H95" s="285"/>
      <c r="N95" s="1290"/>
      <c r="P95" s="1290"/>
      <c r="Q95" s="1560"/>
      <c r="R95" s="1560"/>
      <c r="S95" s="1290"/>
      <c r="T95" s="1290"/>
      <c r="U95" s="1290"/>
      <c r="V95" s="1290"/>
      <c r="W95" s="1560"/>
      <c r="X95" s="1290"/>
      <c r="Y95" s="1290"/>
      <c r="Z95" s="478"/>
      <c r="AA95" s="1290"/>
      <c r="AB95" s="1290"/>
      <c r="AC95" s="1290"/>
      <c r="AD95" s="1290"/>
      <c r="AE95" s="1290"/>
      <c r="AF95" s="1556"/>
      <c r="AG95" s="556"/>
      <c r="AH95" s="556"/>
      <c r="AI95" s="556"/>
      <c r="AJ95" s="556"/>
      <c r="AK95" s="1565">
        <v>11</v>
      </c>
    </row>
    <row r="96" spans="1:37" s="1565" customFormat="1" ht="11.45" customHeight="1">
      <c r="A96" s="914"/>
      <c r="B96" s="914"/>
      <c r="C96" s="914"/>
      <c r="D96" s="914"/>
      <c r="E96" s="914"/>
      <c r="F96" s="1560"/>
      <c r="G96" s="1560"/>
      <c r="H96" s="285"/>
      <c r="N96" s="1290"/>
      <c r="P96" s="1290"/>
      <c r="Q96" s="1560"/>
      <c r="R96" s="1560"/>
      <c r="S96" s="1290"/>
      <c r="T96" s="1290"/>
      <c r="U96" s="1290"/>
      <c r="V96" s="1290"/>
      <c r="W96" s="1560"/>
      <c r="X96" s="1290"/>
      <c r="Y96" s="1290"/>
      <c r="Z96" s="478"/>
      <c r="AA96" s="1290"/>
      <c r="AB96" s="1290"/>
      <c r="AC96" s="1290"/>
      <c r="AD96" s="1290"/>
      <c r="AE96" s="1290"/>
      <c r="AF96" s="1556"/>
      <c r="AG96" s="556"/>
      <c r="AH96" s="556"/>
      <c r="AI96" s="556"/>
      <c r="AJ96" s="556"/>
      <c r="AK96" s="1565">
        <v>11</v>
      </c>
    </row>
    <row r="97" spans="1:37" s="1565" customFormat="1" ht="11.45" customHeight="1">
      <c r="A97" s="914"/>
      <c r="B97" s="914"/>
      <c r="C97" s="914"/>
      <c r="D97" s="914"/>
      <c r="E97" s="914"/>
      <c r="F97" s="1560"/>
      <c r="G97" s="1560"/>
      <c r="H97" s="285"/>
      <c r="N97" s="1290"/>
      <c r="P97" s="1290"/>
      <c r="Q97" s="1560"/>
      <c r="R97" s="1560"/>
      <c r="S97" s="1290"/>
      <c r="T97" s="1290"/>
      <c r="U97" s="1290"/>
      <c r="V97" s="1290"/>
      <c r="W97" s="1560"/>
      <c r="X97" s="1290"/>
      <c r="Y97" s="1290"/>
      <c r="Z97" s="478"/>
      <c r="AA97" s="1290"/>
      <c r="AB97" s="1290"/>
      <c r="AC97" s="1290"/>
      <c r="AD97" s="1290"/>
      <c r="AE97" s="1290"/>
      <c r="AF97" s="1556"/>
      <c r="AG97" s="556"/>
      <c r="AH97" s="556"/>
      <c r="AI97" s="556"/>
      <c r="AJ97" s="556"/>
      <c r="AK97" s="1565">
        <v>11</v>
      </c>
    </row>
    <row r="98" spans="1:37" s="1565" customFormat="1" ht="11.45" customHeight="1">
      <c r="A98" s="914"/>
      <c r="B98" s="914"/>
      <c r="C98" s="914"/>
      <c r="D98" s="914"/>
      <c r="E98" s="914"/>
      <c r="F98" s="1560"/>
      <c r="G98" s="1560"/>
      <c r="H98" s="285"/>
      <c r="N98" s="1290"/>
      <c r="P98" s="1290"/>
      <c r="Q98" s="1560"/>
      <c r="R98" s="1560"/>
      <c r="S98" s="1290"/>
      <c r="T98" s="1290"/>
      <c r="U98" s="1290"/>
      <c r="V98" s="1290"/>
      <c r="W98" s="1560"/>
      <c r="X98" s="1290"/>
      <c r="Y98" s="1290"/>
      <c r="Z98" s="478"/>
      <c r="AA98" s="1290"/>
      <c r="AB98" s="1290"/>
      <c r="AC98" s="1290"/>
      <c r="AD98" s="1290"/>
      <c r="AE98" s="1290"/>
      <c r="AF98" s="1556"/>
      <c r="AG98" s="556"/>
      <c r="AH98" s="556"/>
      <c r="AI98" s="556"/>
      <c r="AJ98" s="556"/>
      <c r="AK98" s="1565">
        <v>11</v>
      </c>
    </row>
    <row r="99" spans="1:37" s="1565" customFormat="1" ht="11.45" customHeight="1">
      <c r="A99" s="914"/>
      <c r="B99" s="914"/>
      <c r="C99" s="914"/>
      <c r="D99" s="914"/>
      <c r="E99" s="914"/>
      <c r="F99" s="1560"/>
      <c r="G99" s="1560"/>
      <c r="H99" s="285"/>
      <c r="N99" s="1290"/>
      <c r="P99" s="1290"/>
      <c r="Q99" s="1560"/>
      <c r="R99" s="1560"/>
      <c r="S99" s="1290"/>
      <c r="T99" s="1290"/>
      <c r="U99" s="1290"/>
      <c r="V99" s="1290"/>
      <c r="W99" s="1560"/>
      <c r="X99" s="1290"/>
      <c r="Y99" s="1290"/>
      <c r="Z99" s="478"/>
      <c r="AA99" s="1290"/>
      <c r="AB99" s="1290"/>
      <c r="AC99" s="1290"/>
      <c r="AD99" s="1290"/>
      <c r="AE99" s="1290"/>
      <c r="AF99" s="1556"/>
      <c r="AG99" s="556"/>
      <c r="AH99" s="556"/>
      <c r="AI99" s="556"/>
      <c r="AJ99" s="556"/>
      <c r="AK99" s="1565">
        <v>11</v>
      </c>
    </row>
    <row r="100" spans="1:37" s="1565" customFormat="1" ht="11.45" customHeight="1">
      <c r="A100" s="914"/>
      <c r="B100" s="914"/>
      <c r="C100" s="914"/>
      <c r="D100" s="914"/>
      <c r="E100" s="914"/>
      <c r="F100" s="1560"/>
      <c r="G100" s="1560"/>
      <c r="H100" s="285"/>
      <c r="N100" s="1290"/>
      <c r="P100" s="1290"/>
      <c r="Q100" s="1560"/>
      <c r="R100" s="1560"/>
      <c r="S100" s="1290"/>
      <c r="T100" s="1290"/>
      <c r="U100" s="1290"/>
      <c r="V100" s="1290"/>
      <c r="W100" s="1560"/>
      <c r="X100" s="1290"/>
      <c r="Y100" s="1290"/>
      <c r="Z100" s="478"/>
      <c r="AA100" s="1290"/>
      <c r="AB100" s="1290"/>
      <c r="AC100" s="1290"/>
      <c r="AD100" s="1290"/>
      <c r="AE100" s="1290"/>
      <c r="AF100" s="1556"/>
      <c r="AG100" s="556"/>
      <c r="AH100" s="556"/>
      <c r="AI100" s="556"/>
      <c r="AJ100" s="556"/>
      <c r="AK100" s="1565">
        <v>11</v>
      </c>
    </row>
    <row r="101" spans="1:37" s="1565" customFormat="1" ht="11.45" customHeight="1">
      <c r="A101" s="914"/>
      <c r="B101" s="914"/>
      <c r="C101" s="914"/>
      <c r="D101" s="914"/>
      <c r="E101" s="914"/>
      <c r="F101" s="1560"/>
      <c r="G101" s="1560"/>
      <c r="H101" s="285"/>
      <c r="N101" s="1290"/>
      <c r="P101" s="1290"/>
      <c r="Q101" s="1560"/>
      <c r="R101" s="1560"/>
      <c r="S101" s="1290"/>
      <c r="T101" s="1290"/>
      <c r="U101" s="1290"/>
      <c r="V101" s="1290"/>
      <c r="W101" s="1560"/>
      <c r="X101" s="1290"/>
      <c r="Y101" s="1290"/>
      <c r="Z101" s="478"/>
      <c r="AA101" s="1290"/>
      <c r="AB101" s="1290"/>
      <c r="AC101" s="1290"/>
      <c r="AD101" s="1290"/>
      <c r="AE101" s="1290"/>
      <c r="AF101" s="1556"/>
      <c r="AG101" s="556"/>
      <c r="AH101" s="556"/>
      <c r="AI101" s="556"/>
      <c r="AJ101" s="556"/>
      <c r="AK101" s="1565">
        <v>11</v>
      </c>
    </row>
    <row r="102" spans="1:37" s="1565" customFormat="1" ht="11.45" customHeight="1">
      <c r="A102" s="914"/>
      <c r="B102" s="914"/>
      <c r="C102" s="914"/>
      <c r="D102" s="914"/>
      <c r="E102" s="914"/>
      <c r="F102" s="1560"/>
      <c r="G102" s="1560"/>
      <c r="H102" s="285"/>
      <c r="N102" s="1290"/>
      <c r="P102" s="1290"/>
      <c r="Q102" s="1560"/>
      <c r="R102" s="1560"/>
      <c r="S102" s="1290"/>
      <c r="T102" s="1290"/>
      <c r="U102" s="1290"/>
      <c r="V102" s="1290"/>
      <c r="W102" s="1560"/>
      <c r="X102" s="1290"/>
      <c r="Y102" s="1290"/>
      <c r="Z102" s="478"/>
      <c r="AA102" s="1290"/>
      <c r="AB102" s="1290"/>
      <c r="AC102" s="1290"/>
      <c r="AD102" s="1290"/>
      <c r="AE102" s="1290"/>
      <c r="AF102" s="1556"/>
      <c r="AG102" s="556"/>
      <c r="AH102" s="556"/>
      <c r="AI102" s="556"/>
      <c r="AJ102" s="556"/>
      <c r="AK102" s="1565">
        <v>11</v>
      </c>
    </row>
    <row r="103" spans="1:37" s="1565" customFormat="1" ht="11.45" customHeight="1">
      <c r="A103" s="914"/>
      <c r="B103" s="914"/>
      <c r="C103" s="914"/>
      <c r="D103" s="914"/>
      <c r="E103" s="914"/>
      <c r="F103" s="1560"/>
      <c r="G103" s="1560"/>
      <c r="H103" s="285"/>
      <c r="N103" s="1290"/>
      <c r="P103" s="1290"/>
      <c r="Q103" s="1560"/>
      <c r="R103" s="1560"/>
      <c r="S103" s="1290"/>
      <c r="T103" s="1290"/>
      <c r="U103" s="1290"/>
      <c r="V103" s="1290"/>
      <c r="W103" s="1560"/>
      <c r="X103" s="1290"/>
      <c r="Y103" s="1290"/>
      <c r="Z103" s="478"/>
      <c r="AA103" s="1290"/>
      <c r="AB103" s="1290"/>
      <c r="AC103" s="1290"/>
      <c r="AD103" s="1290"/>
      <c r="AE103" s="1290"/>
      <c r="AF103" s="1556"/>
      <c r="AG103" s="556"/>
      <c r="AH103" s="556"/>
      <c r="AI103" s="556"/>
      <c r="AJ103" s="556"/>
      <c r="AK103" s="1565">
        <v>11</v>
      </c>
    </row>
    <row r="104" spans="1:37" s="1565" customFormat="1" ht="11.45" customHeight="1">
      <c r="A104" s="914"/>
      <c r="B104" s="914"/>
      <c r="C104" s="914"/>
      <c r="D104" s="914"/>
      <c r="E104" s="914"/>
      <c r="F104" s="1560"/>
      <c r="G104" s="1560"/>
      <c r="H104" s="285"/>
      <c r="N104" s="1290"/>
      <c r="P104" s="1290"/>
      <c r="Q104" s="1560"/>
      <c r="R104" s="1560"/>
      <c r="S104" s="1290"/>
      <c r="T104" s="1290"/>
      <c r="U104" s="1290"/>
      <c r="V104" s="1290"/>
      <c r="W104" s="1560"/>
      <c r="X104" s="1290"/>
      <c r="Y104" s="1290"/>
      <c r="Z104" s="478"/>
      <c r="AA104" s="1290"/>
      <c r="AB104" s="1290"/>
      <c r="AC104" s="1290"/>
      <c r="AD104" s="1290"/>
      <c r="AE104" s="1290"/>
      <c r="AF104" s="1556"/>
      <c r="AG104" s="556"/>
      <c r="AH104" s="556"/>
      <c r="AI104" s="556"/>
      <c r="AJ104" s="556"/>
      <c r="AK104" s="1565">
        <v>11</v>
      </c>
    </row>
    <row r="105" spans="1:37" s="1565" customFormat="1" ht="11.45" customHeight="1">
      <c r="A105" s="914"/>
      <c r="B105" s="914"/>
      <c r="C105" s="914"/>
      <c r="D105" s="914"/>
      <c r="E105" s="914"/>
      <c r="F105" s="1560"/>
      <c r="G105" s="1560"/>
      <c r="H105" s="285"/>
      <c r="N105" s="1290"/>
      <c r="P105" s="1290"/>
      <c r="Q105" s="1560"/>
      <c r="R105" s="1560"/>
      <c r="S105" s="1290"/>
      <c r="T105" s="1290"/>
      <c r="U105" s="1290"/>
      <c r="V105" s="1290"/>
      <c r="W105" s="1560"/>
      <c r="X105" s="1290"/>
      <c r="Y105" s="1290"/>
      <c r="Z105" s="478"/>
      <c r="AA105" s="1290"/>
      <c r="AB105" s="1290"/>
      <c r="AC105" s="1290"/>
      <c r="AD105" s="1290"/>
      <c r="AE105" s="1290"/>
      <c r="AF105" s="1556"/>
      <c r="AG105" s="556"/>
      <c r="AH105" s="556"/>
      <c r="AI105" s="556"/>
      <c r="AJ105" s="556"/>
      <c r="AK105" s="1565">
        <v>11</v>
      </c>
    </row>
    <row r="106" spans="1:37" s="1565" customFormat="1" ht="11.45" customHeight="1">
      <c r="A106" s="914"/>
      <c r="B106" s="914"/>
      <c r="C106" s="914"/>
      <c r="D106" s="914"/>
      <c r="E106" s="914"/>
      <c r="F106" s="1560"/>
      <c r="G106" s="1560"/>
      <c r="H106" s="285"/>
      <c r="N106" s="1290"/>
      <c r="P106" s="1290"/>
      <c r="Q106" s="1560"/>
      <c r="R106" s="1560"/>
      <c r="S106" s="1290"/>
      <c r="T106" s="1290"/>
      <c r="U106" s="1290"/>
      <c r="V106" s="1290"/>
      <c r="W106" s="1560"/>
      <c r="X106" s="1290"/>
      <c r="Y106" s="1290"/>
      <c r="Z106" s="478"/>
      <c r="AA106" s="1290"/>
      <c r="AB106" s="1290"/>
      <c r="AC106" s="1290"/>
      <c r="AD106" s="1290"/>
      <c r="AE106" s="1290"/>
      <c r="AF106" s="1556"/>
      <c r="AG106" s="556"/>
      <c r="AH106" s="556"/>
      <c r="AI106" s="556"/>
      <c r="AJ106" s="556"/>
      <c r="AK106" s="1565">
        <v>11</v>
      </c>
    </row>
    <row r="107" spans="1:37" s="1565" customFormat="1" ht="11.45" customHeight="1">
      <c r="A107" s="914"/>
      <c r="B107" s="914"/>
      <c r="C107" s="914"/>
      <c r="D107" s="914"/>
      <c r="E107" s="914"/>
      <c r="F107" s="1560"/>
      <c r="G107" s="1560"/>
      <c r="H107" s="285"/>
      <c r="N107" s="1290"/>
      <c r="P107" s="1290"/>
      <c r="Q107" s="1560"/>
      <c r="R107" s="1560"/>
      <c r="S107" s="1290"/>
      <c r="T107" s="1290"/>
      <c r="U107" s="1290"/>
      <c r="V107" s="1290"/>
      <c r="W107" s="1560"/>
      <c r="X107" s="1290"/>
      <c r="Y107" s="1290"/>
      <c r="Z107" s="478"/>
      <c r="AA107" s="1290"/>
      <c r="AB107" s="1290"/>
      <c r="AC107" s="1290"/>
      <c r="AD107" s="1290"/>
      <c r="AE107" s="1290"/>
      <c r="AF107" s="1556"/>
      <c r="AG107" s="556"/>
      <c r="AH107" s="556"/>
      <c r="AI107" s="556"/>
      <c r="AJ107" s="556"/>
      <c r="AK107" s="1565">
        <v>11</v>
      </c>
    </row>
    <row r="108" spans="1:37" s="1565" customFormat="1" ht="11.45" customHeight="1">
      <c r="A108" s="914"/>
      <c r="B108" s="914"/>
      <c r="C108" s="914"/>
      <c r="D108" s="914"/>
      <c r="E108" s="914"/>
      <c r="F108" s="1560"/>
      <c r="G108" s="1560"/>
      <c r="H108" s="285"/>
      <c r="N108" s="1290"/>
      <c r="P108" s="1290"/>
      <c r="Q108" s="1560"/>
      <c r="R108" s="1560"/>
      <c r="S108" s="1290"/>
      <c r="T108" s="1290"/>
      <c r="U108" s="1290"/>
      <c r="V108" s="1290"/>
      <c r="W108" s="1560"/>
      <c r="X108" s="1290"/>
      <c r="Y108" s="1290"/>
      <c r="Z108" s="478"/>
      <c r="AA108" s="1290"/>
      <c r="AB108" s="1290"/>
      <c r="AC108" s="1290"/>
      <c r="AD108" s="1290"/>
      <c r="AE108" s="1290"/>
      <c r="AF108" s="1556"/>
      <c r="AG108" s="556"/>
      <c r="AH108" s="556"/>
      <c r="AI108" s="556"/>
      <c r="AJ108" s="556"/>
      <c r="AK108" s="1565">
        <v>11</v>
      </c>
    </row>
    <row r="109" spans="1:37" s="1565" customFormat="1" ht="11.45" customHeight="1">
      <c r="A109" s="914"/>
      <c r="B109" s="914"/>
      <c r="C109" s="914"/>
      <c r="D109" s="914"/>
      <c r="E109" s="914"/>
      <c r="F109" s="1560"/>
      <c r="G109" s="1560"/>
      <c r="H109" s="285"/>
      <c r="N109" s="1290"/>
      <c r="P109" s="1290"/>
      <c r="Q109" s="1560"/>
      <c r="R109" s="1560"/>
      <c r="S109" s="1290"/>
      <c r="T109" s="1290"/>
      <c r="U109" s="1290"/>
      <c r="V109" s="1290"/>
      <c r="W109" s="1560"/>
      <c r="X109" s="1290"/>
      <c r="Y109" s="1290"/>
      <c r="Z109" s="478"/>
      <c r="AA109" s="1290"/>
      <c r="AB109" s="1290"/>
      <c r="AC109" s="1290"/>
      <c r="AD109" s="1290"/>
      <c r="AE109" s="1290"/>
      <c r="AF109" s="1556"/>
      <c r="AG109" s="556"/>
      <c r="AH109" s="556"/>
      <c r="AI109" s="556"/>
      <c r="AJ109" s="556"/>
      <c r="AK109" s="1565">
        <v>11</v>
      </c>
    </row>
    <row r="110" spans="1:37" s="1565" customFormat="1" ht="11.45" customHeight="1">
      <c r="A110" s="914"/>
      <c r="B110" s="914"/>
      <c r="C110" s="914"/>
      <c r="D110" s="914"/>
      <c r="E110" s="914"/>
      <c r="F110" s="1560"/>
      <c r="G110" s="1560"/>
      <c r="H110" s="285"/>
      <c r="N110" s="1290"/>
      <c r="P110" s="1290"/>
      <c r="Q110" s="1560"/>
      <c r="R110" s="1560"/>
      <c r="S110" s="1290"/>
      <c r="T110" s="1290"/>
      <c r="U110" s="1290"/>
      <c r="V110" s="1290"/>
      <c r="W110" s="1560"/>
      <c r="X110" s="1290"/>
      <c r="Y110" s="1290"/>
      <c r="Z110" s="478"/>
      <c r="AA110" s="1290"/>
      <c r="AB110" s="1290"/>
      <c r="AC110" s="1290"/>
      <c r="AD110" s="1290"/>
      <c r="AE110" s="1290"/>
      <c r="AF110" s="1556"/>
      <c r="AG110" s="556"/>
      <c r="AH110" s="556"/>
      <c r="AI110" s="556"/>
      <c r="AJ110" s="556"/>
      <c r="AK110" s="1565">
        <v>11</v>
      </c>
    </row>
    <row r="111" spans="1:37" s="1565" customFormat="1" ht="11.45" customHeight="1">
      <c r="A111" s="914"/>
      <c r="B111" s="914"/>
      <c r="C111" s="914"/>
      <c r="D111" s="914"/>
      <c r="E111" s="914"/>
      <c r="F111" s="1560"/>
      <c r="G111" s="1560"/>
      <c r="H111" s="285"/>
      <c r="N111" s="1290"/>
      <c r="P111" s="1290"/>
      <c r="Q111" s="1560"/>
      <c r="R111" s="1560"/>
      <c r="S111" s="1290"/>
      <c r="T111" s="1290"/>
      <c r="U111" s="1290"/>
      <c r="V111" s="1290"/>
      <c r="W111" s="1560"/>
      <c r="X111" s="1290"/>
      <c r="Y111" s="1290"/>
      <c r="Z111" s="478"/>
      <c r="AA111" s="1290"/>
      <c r="AB111" s="1290"/>
      <c r="AC111" s="1290"/>
      <c r="AD111" s="1290"/>
      <c r="AE111" s="1290"/>
      <c r="AF111" s="1556"/>
      <c r="AG111" s="556"/>
      <c r="AH111" s="556"/>
      <c r="AI111" s="556"/>
      <c r="AJ111" s="556"/>
      <c r="AK111" s="1565">
        <v>11</v>
      </c>
    </row>
    <row r="112" spans="1:37" s="1565" customFormat="1" ht="11.45" customHeight="1">
      <c r="A112" s="914"/>
      <c r="B112" s="914"/>
      <c r="C112" s="914"/>
      <c r="D112" s="914"/>
      <c r="E112" s="914"/>
      <c r="F112" s="1560"/>
      <c r="G112" s="1560"/>
      <c r="H112" s="285"/>
      <c r="N112" s="1290"/>
      <c r="P112" s="1290"/>
      <c r="Q112" s="1560"/>
      <c r="R112" s="1560"/>
      <c r="S112" s="1290"/>
      <c r="T112" s="1290"/>
      <c r="U112" s="1290"/>
      <c r="V112" s="1290"/>
      <c r="W112" s="1560"/>
      <c r="X112" s="1290"/>
      <c r="Y112" s="1290"/>
      <c r="Z112" s="478"/>
      <c r="AA112" s="1290"/>
      <c r="AB112" s="1290"/>
      <c r="AC112" s="1290"/>
      <c r="AD112" s="1290"/>
      <c r="AE112" s="1290"/>
      <c r="AF112" s="1556"/>
      <c r="AG112" s="556"/>
      <c r="AH112" s="556"/>
      <c r="AI112" s="556"/>
      <c r="AJ112" s="556"/>
      <c r="AK112" s="1565">
        <v>11</v>
      </c>
    </row>
    <row r="113" spans="1:37" s="1565" customFormat="1" ht="11.45" customHeight="1">
      <c r="A113" s="914"/>
      <c r="B113" s="914"/>
      <c r="C113" s="914"/>
      <c r="D113" s="914"/>
      <c r="E113" s="914"/>
      <c r="F113" s="1560"/>
      <c r="G113" s="1560"/>
      <c r="H113" s="285"/>
      <c r="N113" s="1290"/>
      <c r="P113" s="1290"/>
      <c r="Q113" s="1560"/>
      <c r="R113" s="1560"/>
      <c r="S113" s="1290"/>
      <c r="T113" s="1290"/>
      <c r="U113" s="1290"/>
      <c r="V113" s="1290"/>
      <c r="W113" s="1560"/>
      <c r="X113" s="1290"/>
      <c r="Y113" s="1290"/>
      <c r="Z113" s="478"/>
      <c r="AA113" s="1290"/>
      <c r="AB113" s="1290"/>
      <c r="AC113" s="1290"/>
      <c r="AD113" s="1290"/>
      <c r="AE113" s="1290"/>
      <c r="AF113" s="1556"/>
      <c r="AG113" s="556"/>
      <c r="AH113" s="556"/>
      <c r="AI113" s="556"/>
      <c r="AJ113" s="556"/>
      <c r="AK113" s="1565">
        <v>11</v>
      </c>
    </row>
    <row r="114" spans="1:37" s="1565" customFormat="1" ht="11.45" customHeight="1">
      <c r="A114" s="914"/>
      <c r="B114" s="914"/>
      <c r="C114" s="914"/>
      <c r="D114" s="914"/>
      <c r="E114" s="914"/>
      <c r="F114" s="1560"/>
      <c r="G114" s="1560"/>
      <c r="H114" s="285"/>
      <c r="N114" s="1290"/>
      <c r="P114" s="1290"/>
      <c r="Q114" s="1560"/>
      <c r="R114" s="1560"/>
      <c r="S114" s="1290"/>
      <c r="T114" s="1290"/>
      <c r="U114" s="1290"/>
      <c r="V114" s="1290"/>
      <c r="W114" s="1560"/>
      <c r="X114" s="1290"/>
      <c r="Y114" s="1290"/>
      <c r="Z114" s="478"/>
      <c r="AA114" s="1290"/>
      <c r="AB114" s="1290"/>
      <c r="AC114" s="1290"/>
      <c r="AD114" s="1290"/>
      <c r="AE114" s="1290"/>
      <c r="AF114" s="1556"/>
      <c r="AG114" s="556"/>
      <c r="AH114" s="556"/>
      <c r="AI114" s="556"/>
      <c r="AJ114" s="556"/>
      <c r="AK114" s="1565">
        <v>11</v>
      </c>
    </row>
    <row r="115" spans="1:37" s="1565" customFormat="1" ht="11.45" customHeight="1">
      <c r="A115" s="914"/>
      <c r="B115" s="914"/>
      <c r="C115" s="914"/>
      <c r="D115" s="914"/>
      <c r="E115" s="914"/>
      <c r="F115" s="1560"/>
      <c r="G115" s="1560"/>
      <c r="H115" s="285"/>
      <c r="N115" s="1290"/>
      <c r="P115" s="1290"/>
      <c r="Q115" s="1560"/>
      <c r="R115" s="1560"/>
      <c r="S115" s="1290"/>
      <c r="T115" s="1290"/>
      <c r="U115" s="1290"/>
      <c r="V115" s="1290"/>
      <c r="W115" s="1560"/>
      <c r="X115" s="1290"/>
      <c r="Y115" s="1290"/>
      <c r="Z115" s="478"/>
      <c r="AA115" s="1290"/>
      <c r="AB115" s="1290"/>
      <c r="AC115" s="1290"/>
      <c r="AD115" s="1290"/>
      <c r="AE115" s="1290"/>
      <c r="AF115" s="1556"/>
      <c r="AG115" s="556"/>
      <c r="AH115" s="556"/>
      <c r="AI115" s="556"/>
      <c r="AJ115" s="556"/>
      <c r="AK115" s="1565">
        <v>11</v>
      </c>
    </row>
    <row r="116" spans="1:37" s="1565" customFormat="1" ht="11.45" customHeight="1">
      <c r="A116" s="914"/>
      <c r="B116" s="914"/>
      <c r="C116" s="914"/>
      <c r="D116" s="914"/>
      <c r="E116" s="914"/>
      <c r="F116" s="1560"/>
      <c r="G116" s="1560"/>
      <c r="H116" s="285"/>
      <c r="N116" s="1290"/>
      <c r="P116" s="1290"/>
      <c r="Q116" s="1560"/>
      <c r="R116" s="1560"/>
      <c r="S116" s="1290"/>
      <c r="T116" s="1290"/>
      <c r="U116" s="1290"/>
      <c r="V116" s="1290"/>
      <c r="W116" s="1560"/>
      <c r="X116" s="1290"/>
      <c r="Y116" s="1290"/>
      <c r="Z116" s="478"/>
      <c r="AA116" s="1290"/>
      <c r="AB116" s="1290"/>
      <c r="AC116" s="1290"/>
      <c r="AD116" s="1290"/>
      <c r="AE116" s="1290"/>
      <c r="AF116" s="1556"/>
      <c r="AG116" s="556"/>
      <c r="AH116" s="556"/>
      <c r="AI116" s="556"/>
      <c r="AJ116" s="556"/>
      <c r="AK116" s="1565">
        <v>11</v>
      </c>
    </row>
    <row r="117" spans="1:37" s="1565" customFormat="1" ht="11.45" customHeight="1">
      <c r="A117" s="914"/>
      <c r="B117" s="914"/>
      <c r="C117" s="914"/>
      <c r="D117" s="914"/>
      <c r="E117" s="914"/>
      <c r="F117" s="1560"/>
      <c r="G117" s="1560"/>
      <c r="H117" s="285"/>
      <c r="N117" s="1290"/>
      <c r="P117" s="1290"/>
      <c r="Q117" s="1560"/>
      <c r="R117" s="1560"/>
      <c r="S117" s="1290"/>
      <c r="T117" s="1290"/>
      <c r="U117" s="1290"/>
      <c r="V117" s="1290"/>
      <c r="W117" s="1560"/>
      <c r="X117" s="1290"/>
      <c r="Y117" s="1290"/>
      <c r="Z117" s="478"/>
      <c r="AA117" s="1290"/>
      <c r="AB117" s="1290"/>
      <c r="AC117" s="1290"/>
      <c r="AD117" s="1290"/>
      <c r="AE117" s="1290"/>
      <c r="AF117" s="1556"/>
      <c r="AG117" s="556"/>
      <c r="AH117" s="556"/>
      <c r="AI117" s="556"/>
      <c r="AJ117" s="556"/>
      <c r="AK117" s="1565">
        <v>11</v>
      </c>
    </row>
    <row r="118" spans="1:37" s="1565" customFormat="1" ht="11.45" customHeight="1">
      <c r="A118" s="914"/>
      <c r="B118" s="914"/>
      <c r="C118" s="914"/>
      <c r="D118" s="914"/>
      <c r="E118" s="914"/>
      <c r="F118" s="1560"/>
      <c r="G118" s="1560"/>
      <c r="H118" s="285"/>
      <c r="N118" s="1290"/>
      <c r="P118" s="1290"/>
      <c r="Q118" s="1560"/>
      <c r="R118" s="1560"/>
      <c r="S118" s="1290"/>
      <c r="T118" s="1290"/>
      <c r="U118" s="1290"/>
      <c r="V118" s="1290"/>
      <c r="W118" s="1560"/>
      <c r="X118" s="1290"/>
      <c r="Y118" s="1290"/>
      <c r="Z118" s="478"/>
      <c r="AA118" s="1290"/>
      <c r="AB118" s="1290"/>
      <c r="AC118" s="1290"/>
      <c r="AD118" s="1290"/>
      <c r="AE118" s="1290"/>
      <c r="AF118" s="1556"/>
      <c r="AG118" s="556"/>
      <c r="AH118" s="556"/>
      <c r="AI118" s="556"/>
      <c r="AJ118" s="556"/>
      <c r="AK118" s="1565">
        <v>11</v>
      </c>
    </row>
    <row r="119" spans="1:37" s="1565" customFormat="1" ht="11.45" customHeight="1">
      <c r="A119" s="914"/>
      <c r="B119" s="914"/>
      <c r="C119" s="914"/>
      <c r="D119" s="914"/>
      <c r="E119" s="914"/>
      <c r="F119" s="1560"/>
      <c r="G119" s="1560"/>
      <c r="H119" s="285"/>
      <c r="N119" s="1290"/>
      <c r="P119" s="1290"/>
      <c r="Q119" s="1560"/>
      <c r="R119" s="1560"/>
      <c r="S119" s="1290"/>
      <c r="T119" s="1290"/>
      <c r="U119" s="1290"/>
      <c r="V119" s="1290"/>
      <c r="W119" s="1560"/>
      <c r="X119" s="1290"/>
      <c r="Y119" s="1290"/>
      <c r="Z119" s="478"/>
      <c r="AA119" s="1290"/>
      <c r="AB119" s="1290"/>
      <c r="AC119" s="1290"/>
      <c r="AD119" s="1290"/>
      <c r="AE119" s="1290"/>
      <c r="AF119" s="1556"/>
      <c r="AG119" s="556"/>
      <c r="AH119" s="556"/>
      <c r="AI119" s="556"/>
      <c r="AJ119" s="556"/>
      <c r="AK119" s="1565">
        <v>11</v>
      </c>
    </row>
    <row r="120" spans="1:37" s="1565" customFormat="1" ht="11.45" customHeight="1">
      <c r="A120" s="914"/>
      <c r="B120" s="914"/>
      <c r="C120" s="914"/>
      <c r="D120" s="914"/>
      <c r="E120" s="914"/>
      <c r="F120" s="1560"/>
      <c r="G120" s="1560"/>
      <c r="H120" s="285"/>
      <c r="N120" s="1290"/>
      <c r="P120" s="1290"/>
      <c r="Q120" s="1560"/>
      <c r="R120" s="1560"/>
      <c r="S120" s="1290"/>
      <c r="T120" s="1290"/>
      <c r="U120" s="1290"/>
      <c r="V120" s="1290"/>
      <c r="W120" s="1560"/>
      <c r="X120" s="1290"/>
      <c r="Y120" s="1290"/>
      <c r="Z120" s="478"/>
      <c r="AA120" s="1290"/>
      <c r="AB120" s="1290"/>
      <c r="AC120" s="1290"/>
      <c r="AD120" s="1290"/>
      <c r="AE120" s="1290"/>
      <c r="AF120" s="1556"/>
      <c r="AG120" s="556"/>
      <c r="AH120" s="556"/>
      <c r="AI120" s="556"/>
      <c r="AJ120" s="556"/>
      <c r="AK120" s="1565">
        <v>11</v>
      </c>
    </row>
    <row r="121" spans="1:37" s="1565" customFormat="1" ht="11.45" customHeight="1">
      <c r="A121" s="914"/>
      <c r="B121" s="914"/>
      <c r="C121" s="914"/>
      <c r="D121" s="914"/>
      <c r="E121" s="914"/>
      <c r="F121" s="1560"/>
      <c r="G121" s="1560"/>
      <c r="H121" s="285"/>
      <c r="N121" s="1290"/>
      <c r="P121" s="1290"/>
      <c r="Q121" s="1560"/>
      <c r="R121" s="1560"/>
      <c r="S121" s="1290"/>
      <c r="T121" s="1290"/>
      <c r="U121" s="1290"/>
      <c r="V121" s="1290"/>
      <c r="W121" s="1560"/>
      <c r="X121" s="1290"/>
      <c r="Y121" s="1290"/>
      <c r="Z121" s="478"/>
      <c r="AA121" s="1290"/>
      <c r="AB121" s="1290"/>
      <c r="AC121" s="1290"/>
      <c r="AD121" s="1290"/>
      <c r="AE121" s="1290"/>
      <c r="AF121" s="1556"/>
      <c r="AG121" s="556"/>
      <c r="AH121" s="556"/>
      <c r="AI121" s="556"/>
      <c r="AJ121" s="556"/>
      <c r="AK121" s="1565">
        <v>11</v>
      </c>
    </row>
    <row r="122" spans="1:37" s="1565" customFormat="1" ht="11.45" customHeight="1">
      <c r="A122" s="914"/>
      <c r="B122" s="914"/>
      <c r="C122" s="914"/>
      <c r="D122" s="914"/>
      <c r="E122" s="914"/>
      <c r="F122" s="1560"/>
      <c r="G122" s="1560"/>
      <c r="H122" s="285"/>
      <c r="N122" s="1290"/>
      <c r="P122" s="1290"/>
      <c r="Q122" s="1560"/>
      <c r="R122" s="1560"/>
      <c r="S122" s="1290"/>
      <c r="T122" s="1290"/>
      <c r="U122" s="1290"/>
      <c r="V122" s="1290"/>
      <c r="W122" s="1560"/>
      <c r="X122" s="1290"/>
      <c r="Y122" s="1290"/>
      <c r="Z122" s="478"/>
      <c r="AA122" s="1290"/>
      <c r="AB122" s="1290"/>
      <c r="AC122" s="1290"/>
      <c r="AD122" s="1290"/>
      <c r="AE122" s="1290"/>
      <c r="AF122" s="1556"/>
      <c r="AG122" s="556"/>
      <c r="AH122" s="556"/>
      <c r="AI122" s="556"/>
      <c r="AJ122" s="556"/>
      <c r="AK122" s="1565">
        <v>11</v>
      </c>
    </row>
    <row r="123" spans="1:37" s="1565" customFormat="1" ht="11.45" customHeight="1">
      <c r="A123" s="914"/>
      <c r="B123" s="914"/>
      <c r="C123" s="914"/>
      <c r="D123" s="914"/>
      <c r="E123" s="914"/>
      <c r="F123" s="1560"/>
      <c r="G123" s="1560"/>
      <c r="H123" s="285"/>
      <c r="N123" s="1290"/>
      <c r="P123" s="1290"/>
      <c r="Q123" s="1560"/>
      <c r="R123" s="1560"/>
      <c r="S123" s="1290"/>
      <c r="T123" s="1290"/>
      <c r="U123" s="1290"/>
      <c r="V123" s="1290"/>
      <c r="W123" s="1560"/>
      <c r="X123" s="1290"/>
      <c r="Y123" s="1290"/>
      <c r="Z123" s="478"/>
      <c r="AA123" s="1290"/>
      <c r="AB123" s="1290"/>
      <c r="AC123" s="1290"/>
      <c r="AD123" s="1290"/>
      <c r="AE123" s="1290"/>
      <c r="AF123" s="1556"/>
      <c r="AG123" s="556"/>
      <c r="AH123" s="556"/>
      <c r="AI123" s="556"/>
      <c r="AJ123" s="556"/>
      <c r="AK123" s="1565">
        <v>11</v>
      </c>
    </row>
    <row r="124" spans="1:37" s="1565" customFormat="1" ht="11.45" customHeight="1">
      <c r="A124" s="914"/>
      <c r="B124" s="914"/>
      <c r="C124" s="914"/>
      <c r="D124" s="914"/>
      <c r="E124" s="914"/>
      <c r="F124" s="1560"/>
      <c r="G124" s="1560"/>
      <c r="H124" s="285"/>
      <c r="N124" s="1290"/>
      <c r="P124" s="1290"/>
      <c r="Q124" s="1560"/>
      <c r="R124" s="1560"/>
      <c r="S124" s="1290"/>
      <c r="T124" s="1290"/>
      <c r="U124" s="1290"/>
      <c r="V124" s="1290"/>
      <c r="W124" s="1560"/>
      <c r="X124" s="1290"/>
      <c r="Y124" s="1290"/>
      <c r="Z124" s="478"/>
      <c r="AA124" s="1290"/>
      <c r="AB124" s="1290"/>
      <c r="AC124" s="1290"/>
      <c r="AD124" s="1290"/>
      <c r="AE124" s="1290"/>
      <c r="AF124" s="1556"/>
      <c r="AG124" s="556"/>
      <c r="AH124" s="556"/>
      <c r="AI124" s="556"/>
      <c r="AJ124" s="556"/>
      <c r="AK124" s="1565">
        <v>11</v>
      </c>
    </row>
    <row r="125" spans="1:37" s="1565" customFormat="1" ht="11.45" customHeight="1">
      <c r="A125" s="914"/>
      <c r="B125" s="914"/>
      <c r="C125" s="914"/>
      <c r="D125" s="914"/>
      <c r="E125" s="914"/>
      <c r="F125" s="1560"/>
      <c r="G125" s="1560"/>
      <c r="H125" s="285"/>
      <c r="N125" s="1290"/>
      <c r="P125" s="1290"/>
      <c r="Q125" s="1560"/>
      <c r="R125" s="1560"/>
      <c r="S125" s="1290"/>
      <c r="T125" s="1290"/>
      <c r="U125" s="1290"/>
      <c r="V125" s="1290"/>
      <c r="W125" s="1560"/>
      <c r="X125" s="1290"/>
      <c r="Y125" s="1290"/>
      <c r="Z125" s="478"/>
      <c r="AA125" s="1290"/>
      <c r="AB125" s="1290"/>
      <c r="AC125" s="1290"/>
      <c r="AD125" s="1290"/>
      <c r="AE125" s="1290"/>
      <c r="AF125" s="1556"/>
      <c r="AG125" s="556"/>
      <c r="AH125" s="556"/>
      <c r="AI125" s="556"/>
      <c r="AJ125" s="556"/>
      <c r="AK125" s="1565">
        <v>11</v>
      </c>
    </row>
    <row r="126" spans="1:37" s="1565" customFormat="1" ht="11.45" customHeight="1">
      <c r="A126" s="914"/>
      <c r="B126" s="914"/>
      <c r="C126" s="914"/>
      <c r="D126" s="914"/>
      <c r="E126" s="914"/>
      <c r="F126" s="1560"/>
      <c r="G126" s="1560"/>
      <c r="H126" s="285"/>
      <c r="N126" s="1290"/>
      <c r="P126" s="1290"/>
      <c r="Q126" s="1560"/>
      <c r="R126" s="1560"/>
      <c r="S126" s="1290"/>
      <c r="T126" s="1290"/>
      <c r="U126" s="1290"/>
      <c r="V126" s="1290"/>
      <c r="W126" s="1560"/>
      <c r="X126" s="1290"/>
      <c r="Y126" s="1290"/>
      <c r="Z126" s="478"/>
      <c r="AA126" s="1290"/>
      <c r="AB126" s="1290"/>
      <c r="AC126" s="1290"/>
      <c r="AD126" s="1290"/>
      <c r="AE126" s="1290"/>
      <c r="AF126" s="1556"/>
      <c r="AG126" s="556"/>
      <c r="AH126" s="556"/>
      <c r="AI126" s="556"/>
      <c r="AJ126" s="556"/>
      <c r="AK126" s="1565">
        <v>11</v>
      </c>
    </row>
    <row r="127" spans="1:37" s="1565" customFormat="1" ht="11.45" customHeight="1">
      <c r="A127" s="914"/>
      <c r="B127" s="914"/>
      <c r="C127" s="914"/>
      <c r="D127" s="914"/>
      <c r="E127" s="914"/>
      <c r="F127" s="1560"/>
      <c r="G127" s="1560"/>
      <c r="H127" s="285"/>
      <c r="N127" s="1290"/>
      <c r="P127" s="1290"/>
      <c r="Q127" s="1560"/>
      <c r="R127" s="1560"/>
      <c r="S127" s="1290"/>
      <c r="T127" s="1290"/>
      <c r="U127" s="1290"/>
      <c r="V127" s="1290"/>
      <c r="W127" s="1560"/>
      <c r="X127" s="1290"/>
      <c r="Y127" s="1290"/>
      <c r="Z127" s="478"/>
      <c r="AA127" s="1290"/>
      <c r="AB127" s="1290"/>
      <c r="AC127" s="1290"/>
      <c r="AD127" s="1290"/>
      <c r="AE127" s="1290"/>
      <c r="AF127" s="1556"/>
      <c r="AG127" s="556"/>
      <c r="AH127" s="556"/>
      <c r="AI127" s="556"/>
      <c r="AJ127" s="556"/>
      <c r="AK127" s="1565">
        <v>11</v>
      </c>
    </row>
    <row r="128" spans="1:37" s="1565" customFormat="1" ht="11.45" customHeight="1">
      <c r="A128" s="914"/>
      <c r="B128" s="914"/>
      <c r="C128" s="914"/>
      <c r="D128" s="914"/>
      <c r="E128" s="914"/>
      <c r="F128" s="1560"/>
      <c r="G128" s="1560"/>
      <c r="H128" s="285"/>
      <c r="N128" s="1290"/>
      <c r="P128" s="1290"/>
      <c r="Q128" s="1560"/>
      <c r="R128" s="1560"/>
      <c r="S128" s="1290"/>
      <c r="T128" s="1290"/>
      <c r="U128" s="1290"/>
      <c r="V128" s="1290"/>
      <c r="W128" s="1560"/>
      <c r="X128" s="1290"/>
      <c r="Y128" s="1290"/>
      <c r="Z128" s="478"/>
      <c r="AA128" s="1290"/>
      <c r="AB128" s="1290"/>
      <c r="AC128" s="1290"/>
      <c r="AD128" s="1290"/>
      <c r="AE128" s="1290"/>
      <c r="AF128" s="1556"/>
      <c r="AG128" s="556"/>
      <c r="AH128" s="556"/>
      <c r="AI128" s="556"/>
      <c r="AJ128" s="556"/>
      <c r="AK128" s="1565">
        <v>11</v>
      </c>
    </row>
    <row r="129" spans="1:37" s="1565" customFormat="1" ht="11.45" customHeight="1">
      <c r="A129" s="914"/>
      <c r="B129" s="914"/>
      <c r="C129" s="914"/>
      <c r="D129" s="914"/>
      <c r="E129" s="914"/>
      <c r="F129" s="1560"/>
      <c r="G129" s="1560"/>
      <c r="H129" s="285"/>
      <c r="N129" s="1290"/>
      <c r="P129" s="1290"/>
      <c r="Q129" s="1560"/>
      <c r="R129" s="1560"/>
      <c r="S129" s="1290"/>
      <c r="T129" s="1290"/>
      <c r="U129" s="1290"/>
      <c r="V129" s="1290"/>
      <c r="W129" s="1560"/>
      <c r="X129" s="1290"/>
      <c r="Y129" s="1290"/>
      <c r="Z129" s="478"/>
      <c r="AA129" s="1290"/>
      <c r="AB129" s="1290"/>
      <c r="AC129" s="1290"/>
      <c r="AD129" s="1290"/>
      <c r="AE129" s="1290"/>
      <c r="AF129" s="1556"/>
      <c r="AG129" s="556"/>
      <c r="AH129" s="556"/>
      <c r="AI129" s="556"/>
      <c r="AJ129" s="556"/>
      <c r="AK129" s="1565">
        <v>11</v>
      </c>
    </row>
    <row r="130" spans="1:37" s="1565" customFormat="1" ht="11.45" customHeight="1">
      <c r="A130" s="914"/>
      <c r="B130" s="914"/>
      <c r="C130" s="914"/>
      <c r="D130" s="914"/>
      <c r="E130" s="914"/>
      <c r="F130" s="1560"/>
      <c r="G130" s="1560"/>
      <c r="H130" s="285"/>
      <c r="N130" s="1290"/>
      <c r="P130" s="1290"/>
      <c r="Q130" s="1560"/>
      <c r="R130" s="1560"/>
      <c r="S130" s="1290"/>
      <c r="T130" s="1290"/>
      <c r="U130" s="1290"/>
      <c r="V130" s="1290"/>
      <c r="W130" s="1560"/>
      <c r="X130" s="1290"/>
      <c r="Y130" s="1290"/>
      <c r="Z130" s="478"/>
      <c r="AA130" s="1290"/>
      <c r="AB130" s="1290"/>
      <c r="AC130" s="1290"/>
      <c r="AD130" s="1290"/>
      <c r="AE130" s="1290"/>
      <c r="AF130" s="1556"/>
      <c r="AG130" s="556"/>
      <c r="AH130" s="556"/>
      <c r="AI130" s="556"/>
      <c r="AJ130" s="556"/>
      <c r="AK130" s="1565">
        <v>11</v>
      </c>
    </row>
    <row r="131" spans="1:37" s="1565" customFormat="1" ht="11.45" customHeight="1">
      <c r="A131" s="914"/>
      <c r="B131" s="914"/>
      <c r="C131" s="914"/>
      <c r="D131" s="914"/>
      <c r="E131" s="914"/>
      <c r="F131" s="1560"/>
      <c r="G131" s="1560"/>
      <c r="H131" s="285"/>
      <c r="N131" s="1290"/>
      <c r="P131" s="1290"/>
      <c r="Q131" s="1560"/>
      <c r="R131" s="1560"/>
      <c r="S131" s="1290"/>
      <c r="T131" s="1290"/>
      <c r="U131" s="1290"/>
      <c r="V131" s="1290"/>
      <c r="W131" s="1560"/>
      <c r="X131" s="1290"/>
      <c r="Y131" s="1290"/>
      <c r="Z131" s="478"/>
      <c r="AA131" s="1290"/>
      <c r="AB131" s="1290"/>
      <c r="AC131" s="1290"/>
      <c r="AD131" s="1290"/>
      <c r="AE131" s="1290"/>
      <c r="AF131" s="1556"/>
      <c r="AG131" s="556"/>
      <c r="AH131" s="556"/>
      <c r="AI131" s="556"/>
      <c r="AJ131" s="556"/>
      <c r="AK131" s="1565">
        <v>11</v>
      </c>
    </row>
    <row r="132" spans="1:37" s="1565" customFormat="1" ht="11.45" customHeight="1">
      <c r="A132" s="914"/>
      <c r="B132" s="914"/>
      <c r="C132" s="914"/>
      <c r="D132" s="914"/>
      <c r="E132" s="914"/>
      <c r="F132" s="1560"/>
      <c r="G132" s="1560"/>
      <c r="H132" s="285"/>
      <c r="N132" s="1290"/>
      <c r="P132" s="1290"/>
      <c r="Q132" s="1560"/>
      <c r="R132" s="1560"/>
      <c r="S132" s="1290"/>
      <c r="T132" s="1290"/>
      <c r="U132" s="1290"/>
      <c r="V132" s="1290"/>
      <c r="W132" s="1560"/>
      <c r="X132" s="1290"/>
      <c r="Y132" s="1290"/>
      <c r="Z132" s="478"/>
      <c r="AA132" s="1290"/>
      <c r="AB132" s="1290"/>
      <c r="AC132" s="1290"/>
      <c r="AD132" s="1290"/>
      <c r="AE132" s="1290"/>
      <c r="AF132" s="1556"/>
      <c r="AG132" s="556"/>
      <c r="AH132" s="556"/>
      <c r="AI132" s="556"/>
      <c r="AJ132" s="556"/>
      <c r="AK132" s="1565">
        <v>11</v>
      </c>
    </row>
    <row r="133" spans="1:37" s="1565" customFormat="1" ht="11.45" customHeight="1">
      <c r="A133" s="914"/>
      <c r="B133" s="914"/>
      <c r="C133" s="914"/>
      <c r="D133" s="914"/>
      <c r="E133" s="914"/>
      <c r="F133" s="1560"/>
      <c r="G133" s="1560"/>
      <c r="H133" s="285"/>
      <c r="N133" s="1290"/>
      <c r="P133" s="1290"/>
      <c r="Q133" s="1560"/>
      <c r="R133" s="1560"/>
      <c r="S133" s="1290"/>
      <c r="T133" s="1290"/>
      <c r="U133" s="1290"/>
      <c r="V133" s="1290"/>
      <c r="W133" s="1560"/>
      <c r="X133" s="1290"/>
      <c r="Y133" s="1290"/>
      <c r="Z133" s="478"/>
      <c r="AA133" s="1290"/>
      <c r="AB133" s="1290"/>
      <c r="AC133" s="1290"/>
      <c r="AD133" s="1290"/>
      <c r="AE133" s="1290"/>
      <c r="AF133" s="1556"/>
      <c r="AG133" s="556"/>
      <c r="AH133" s="556"/>
      <c r="AI133" s="556"/>
      <c r="AJ133" s="556"/>
      <c r="AK133" s="1565">
        <v>11</v>
      </c>
    </row>
    <row r="134" spans="1:37" s="1565" customFormat="1" ht="11.45" customHeight="1">
      <c r="A134" s="914"/>
      <c r="B134" s="914"/>
      <c r="C134" s="914"/>
      <c r="D134" s="914"/>
      <c r="E134" s="914"/>
      <c r="F134" s="1560"/>
      <c r="G134" s="1560"/>
      <c r="H134" s="285"/>
      <c r="N134" s="1290"/>
      <c r="P134" s="1290"/>
      <c r="Q134" s="1560"/>
      <c r="R134" s="1560"/>
      <c r="S134" s="1290"/>
      <c r="T134" s="1290"/>
      <c r="U134" s="1290"/>
      <c r="V134" s="1290"/>
      <c r="W134" s="1560"/>
      <c r="X134" s="1290"/>
      <c r="Y134" s="1290"/>
      <c r="Z134" s="478"/>
      <c r="AA134" s="1290"/>
      <c r="AB134" s="1290"/>
      <c r="AC134" s="1290"/>
      <c r="AD134" s="1290"/>
      <c r="AE134" s="1290"/>
      <c r="AF134" s="1556"/>
      <c r="AG134" s="556"/>
      <c r="AH134" s="556"/>
      <c r="AI134" s="556"/>
      <c r="AJ134" s="556"/>
      <c r="AK134" s="1565">
        <v>11</v>
      </c>
    </row>
    <row r="135" spans="1:37" s="1565" customFormat="1" ht="11.45" customHeight="1">
      <c r="A135" s="914"/>
      <c r="B135" s="914"/>
      <c r="C135" s="914"/>
      <c r="D135" s="914"/>
      <c r="E135" s="914"/>
      <c r="F135" s="1560"/>
      <c r="G135" s="1560"/>
      <c r="H135" s="285"/>
      <c r="N135" s="1290"/>
      <c r="P135" s="1290"/>
      <c r="Q135" s="1560"/>
      <c r="R135" s="1560"/>
      <c r="S135" s="1290"/>
      <c r="T135" s="1290"/>
      <c r="U135" s="1290"/>
      <c r="V135" s="1290"/>
      <c r="W135" s="1560"/>
      <c r="X135" s="1290"/>
      <c r="Y135" s="1290"/>
      <c r="Z135" s="478"/>
      <c r="AA135" s="1290"/>
      <c r="AB135" s="1290"/>
      <c r="AC135" s="1290"/>
      <c r="AD135" s="1290"/>
      <c r="AE135" s="1290"/>
      <c r="AF135" s="1556"/>
      <c r="AG135" s="556"/>
      <c r="AH135" s="556"/>
      <c r="AI135" s="556"/>
      <c r="AJ135" s="556"/>
      <c r="AK135" s="1565">
        <v>11</v>
      </c>
    </row>
    <row r="136" spans="1:37" s="1565" customFormat="1" ht="11.45" customHeight="1">
      <c r="A136" s="914"/>
      <c r="B136" s="914"/>
      <c r="C136" s="914"/>
      <c r="D136" s="914"/>
      <c r="E136" s="914"/>
      <c r="F136" s="1560"/>
      <c r="G136" s="1560"/>
      <c r="H136" s="285"/>
      <c r="N136" s="1290"/>
      <c r="P136" s="1290"/>
      <c r="Q136" s="1560"/>
      <c r="R136" s="1560"/>
      <c r="S136" s="1290"/>
      <c r="T136" s="1290"/>
      <c r="U136" s="1290"/>
      <c r="V136" s="1290"/>
      <c r="W136" s="1560"/>
      <c r="X136" s="1290"/>
      <c r="Y136" s="1290"/>
      <c r="Z136" s="478"/>
      <c r="AA136" s="1290"/>
      <c r="AB136" s="1290"/>
      <c r="AC136" s="1290"/>
      <c r="AD136" s="1290"/>
      <c r="AE136" s="1290"/>
      <c r="AF136" s="1556"/>
      <c r="AG136" s="556"/>
      <c r="AH136" s="556"/>
      <c r="AI136" s="556"/>
      <c r="AJ136" s="556"/>
      <c r="AK136" s="1565">
        <v>11</v>
      </c>
    </row>
    <row r="137" spans="1:37" s="1565" customFormat="1" ht="11.45" customHeight="1">
      <c r="A137" s="914"/>
      <c r="B137" s="914"/>
      <c r="C137" s="914"/>
      <c r="D137" s="914"/>
      <c r="E137" s="914"/>
      <c r="F137" s="1560"/>
      <c r="G137" s="1560"/>
      <c r="H137" s="285"/>
      <c r="N137" s="1290"/>
      <c r="P137" s="1290"/>
      <c r="Q137" s="1560"/>
      <c r="R137" s="1560"/>
      <c r="S137" s="1290"/>
      <c r="T137" s="1290"/>
      <c r="U137" s="1290"/>
      <c r="V137" s="1290"/>
      <c r="W137" s="1560"/>
      <c r="X137" s="1290"/>
      <c r="Y137" s="1290"/>
      <c r="Z137" s="478"/>
      <c r="AA137" s="1290"/>
      <c r="AB137" s="1290"/>
      <c r="AC137" s="1290"/>
      <c r="AD137" s="1290"/>
      <c r="AE137" s="1290"/>
      <c r="AF137" s="1556"/>
      <c r="AG137" s="556"/>
      <c r="AH137" s="556"/>
      <c r="AI137" s="556"/>
      <c r="AJ137" s="556"/>
      <c r="AK137" s="1565">
        <v>11</v>
      </c>
    </row>
    <row r="138" spans="1:37" s="1565" customFormat="1" ht="11.45" customHeight="1">
      <c r="A138" s="914"/>
      <c r="B138" s="914"/>
      <c r="C138" s="914"/>
      <c r="D138" s="914"/>
      <c r="E138" s="914"/>
      <c r="F138" s="1560"/>
      <c r="G138" s="1560"/>
      <c r="H138" s="285"/>
      <c r="N138" s="1290"/>
      <c r="P138" s="1290"/>
      <c r="Q138" s="1560"/>
      <c r="R138" s="1560"/>
      <c r="S138" s="1290"/>
      <c r="T138" s="1290"/>
      <c r="U138" s="1290"/>
      <c r="V138" s="1290"/>
      <c r="W138" s="1560"/>
      <c r="X138" s="1290"/>
      <c r="Y138" s="1290"/>
      <c r="Z138" s="478"/>
      <c r="AA138" s="1290"/>
      <c r="AB138" s="1290"/>
      <c r="AC138" s="1290"/>
      <c r="AD138" s="1290"/>
      <c r="AE138" s="1290"/>
      <c r="AF138" s="1556"/>
      <c r="AG138" s="556"/>
      <c r="AH138" s="556"/>
      <c r="AI138" s="556"/>
      <c r="AJ138" s="556"/>
      <c r="AK138" s="1565">
        <v>11</v>
      </c>
    </row>
    <row r="139" spans="1:37" s="1565" customFormat="1" ht="11.45" customHeight="1">
      <c r="A139" s="914"/>
      <c r="B139" s="914"/>
      <c r="C139" s="914"/>
      <c r="D139" s="914"/>
      <c r="E139" s="914"/>
      <c r="F139" s="1560"/>
      <c r="G139" s="1560"/>
      <c r="H139" s="285"/>
      <c r="N139" s="1290"/>
      <c r="P139" s="1290"/>
      <c r="Q139" s="1560"/>
      <c r="R139" s="1560"/>
      <c r="S139" s="1290"/>
      <c r="T139" s="1290"/>
      <c r="U139" s="1290"/>
      <c r="V139" s="1290"/>
      <c r="W139" s="1560"/>
      <c r="X139" s="1290"/>
      <c r="Y139" s="1290"/>
      <c r="Z139" s="478"/>
      <c r="AA139" s="1290"/>
      <c r="AB139" s="1290"/>
      <c r="AC139" s="1290"/>
      <c r="AD139" s="1290"/>
      <c r="AE139" s="1290"/>
      <c r="AF139" s="1556"/>
      <c r="AG139" s="556"/>
      <c r="AH139" s="556"/>
      <c r="AI139" s="556"/>
      <c r="AJ139" s="556"/>
      <c r="AK139" s="1565">
        <v>11</v>
      </c>
    </row>
    <row r="140" spans="1:37" s="1565" customFormat="1" ht="11.45" customHeight="1">
      <c r="A140" s="914"/>
      <c r="B140" s="914"/>
      <c r="C140" s="914"/>
      <c r="D140" s="914"/>
      <c r="E140" s="914"/>
      <c r="F140" s="1560"/>
      <c r="G140" s="1560"/>
      <c r="H140" s="285"/>
      <c r="N140" s="1290"/>
      <c r="P140" s="1290"/>
      <c r="Q140" s="1560"/>
      <c r="R140" s="1560"/>
      <c r="S140" s="1290"/>
      <c r="T140" s="1290"/>
      <c r="U140" s="1290"/>
      <c r="V140" s="1290"/>
      <c r="W140" s="1560"/>
      <c r="X140" s="1290"/>
      <c r="Y140" s="1290"/>
      <c r="Z140" s="478"/>
      <c r="AA140" s="1290"/>
      <c r="AB140" s="1290"/>
      <c r="AC140" s="1290"/>
      <c r="AD140" s="1290"/>
      <c r="AE140" s="1290"/>
      <c r="AF140" s="1556"/>
      <c r="AG140" s="556"/>
      <c r="AH140" s="556"/>
      <c r="AI140" s="556"/>
      <c r="AJ140" s="556"/>
      <c r="AK140" s="1565">
        <v>11</v>
      </c>
    </row>
    <row r="141" spans="1:37" s="1565" customFormat="1" ht="11.45" customHeight="1">
      <c r="A141" s="914"/>
      <c r="B141" s="914"/>
      <c r="C141" s="914"/>
      <c r="D141" s="914"/>
      <c r="E141" s="914"/>
      <c r="F141" s="1560"/>
      <c r="G141" s="1560"/>
      <c r="H141" s="285"/>
      <c r="N141" s="1290"/>
      <c r="P141" s="1290"/>
      <c r="Q141" s="1560"/>
      <c r="R141" s="1560"/>
      <c r="S141" s="1290"/>
      <c r="T141" s="1290"/>
      <c r="U141" s="1290"/>
      <c r="V141" s="1290"/>
      <c r="W141" s="1560"/>
      <c r="X141" s="1290"/>
      <c r="Y141" s="1290"/>
      <c r="Z141" s="478"/>
      <c r="AA141" s="1290"/>
      <c r="AB141" s="1290"/>
      <c r="AC141" s="1290"/>
      <c r="AD141" s="1290"/>
      <c r="AE141" s="1290"/>
      <c r="AF141" s="1556"/>
      <c r="AG141" s="556"/>
      <c r="AH141" s="556"/>
      <c r="AI141" s="556"/>
      <c r="AJ141" s="556"/>
      <c r="AK141" s="1565">
        <v>11</v>
      </c>
    </row>
    <row r="142" spans="1:37" s="1565" customFormat="1" ht="11.45" customHeight="1">
      <c r="A142" s="914"/>
      <c r="B142" s="914"/>
      <c r="C142" s="914"/>
      <c r="D142" s="914"/>
      <c r="E142" s="914"/>
      <c r="F142" s="1560"/>
      <c r="G142" s="1560"/>
      <c r="H142" s="285"/>
      <c r="N142" s="1290"/>
      <c r="P142" s="1290"/>
      <c r="Q142" s="1560"/>
      <c r="R142" s="1560"/>
      <c r="S142" s="1290"/>
      <c r="T142" s="1290"/>
      <c r="U142" s="1290"/>
      <c r="V142" s="1290"/>
      <c r="W142" s="1560"/>
      <c r="X142" s="1290"/>
      <c r="Y142" s="1290"/>
      <c r="Z142" s="478"/>
      <c r="AA142" s="1290"/>
      <c r="AB142" s="1290"/>
      <c r="AC142" s="1290"/>
      <c r="AD142" s="1290"/>
      <c r="AE142" s="1290"/>
      <c r="AF142" s="1556"/>
      <c r="AG142" s="556"/>
      <c r="AH142" s="556"/>
      <c r="AI142" s="556"/>
      <c r="AJ142" s="556"/>
      <c r="AK142" s="1565">
        <v>11</v>
      </c>
    </row>
    <row r="143" spans="1:37" s="1565" customFormat="1" ht="11.45" customHeight="1">
      <c r="A143" s="914"/>
      <c r="B143" s="914"/>
      <c r="C143" s="914"/>
      <c r="D143" s="914"/>
      <c r="E143" s="914"/>
      <c r="F143" s="1560"/>
      <c r="G143" s="1560"/>
      <c r="H143" s="285"/>
      <c r="N143" s="1290"/>
      <c r="P143" s="1290"/>
      <c r="Q143" s="1560"/>
      <c r="R143" s="1560"/>
      <c r="S143" s="1290"/>
      <c r="T143" s="1290"/>
      <c r="U143" s="1290"/>
      <c r="V143" s="1290"/>
      <c r="W143" s="1560"/>
      <c r="X143" s="1290"/>
      <c r="Y143" s="1290"/>
      <c r="Z143" s="478"/>
      <c r="AA143" s="1290"/>
      <c r="AB143" s="1290"/>
      <c r="AC143" s="1290"/>
      <c r="AD143" s="1290"/>
      <c r="AE143" s="1290"/>
      <c r="AF143" s="1556"/>
      <c r="AG143" s="556"/>
      <c r="AH143" s="556"/>
      <c r="AI143" s="556"/>
      <c r="AJ143" s="556"/>
      <c r="AK143" s="1565">
        <v>11</v>
      </c>
    </row>
    <row r="144" spans="1:37" s="1565" customFormat="1" ht="11.45" customHeight="1">
      <c r="A144" s="914"/>
      <c r="B144" s="914"/>
      <c r="C144" s="914"/>
      <c r="D144" s="914"/>
      <c r="E144" s="914"/>
      <c r="F144" s="1560"/>
      <c r="G144" s="1560"/>
      <c r="H144" s="285"/>
      <c r="N144" s="1290"/>
      <c r="P144" s="1290"/>
      <c r="Q144" s="1560"/>
      <c r="R144" s="1560"/>
      <c r="S144" s="1290"/>
      <c r="T144" s="1290"/>
      <c r="U144" s="1290"/>
      <c r="V144" s="1290"/>
      <c r="W144" s="1560"/>
      <c r="X144" s="1290"/>
      <c r="Y144" s="1290"/>
      <c r="Z144" s="478"/>
      <c r="AA144" s="1290"/>
      <c r="AB144" s="1290"/>
      <c r="AC144" s="1290"/>
      <c r="AD144" s="1290"/>
      <c r="AE144" s="1290"/>
      <c r="AF144" s="1556"/>
      <c r="AG144" s="556"/>
      <c r="AH144" s="556"/>
      <c r="AI144" s="556"/>
      <c r="AJ144" s="556"/>
      <c r="AK144" s="1565">
        <v>11</v>
      </c>
    </row>
    <row r="145" spans="1:37" s="1565" customFormat="1" ht="11.45" customHeight="1">
      <c r="A145" s="914"/>
      <c r="B145" s="914"/>
      <c r="C145" s="914"/>
      <c r="D145" s="914"/>
      <c r="E145" s="914"/>
      <c r="F145" s="1560"/>
      <c r="G145" s="1560"/>
      <c r="H145" s="285"/>
      <c r="N145" s="1290"/>
      <c r="P145" s="1290"/>
      <c r="Q145" s="1560"/>
      <c r="R145" s="1560"/>
      <c r="S145" s="1290"/>
      <c r="T145" s="1290"/>
      <c r="U145" s="1290"/>
      <c r="V145" s="1290"/>
      <c r="W145" s="1560"/>
      <c r="X145" s="1290"/>
      <c r="Y145" s="1290"/>
      <c r="Z145" s="478"/>
      <c r="AA145" s="1290"/>
      <c r="AB145" s="1290"/>
      <c r="AC145" s="1290"/>
      <c r="AD145" s="1290"/>
      <c r="AE145" s="1290"/>
      <c r="AF145" s="1556"/>
      <c r="AG145" s="556"/>
      <c r="AH145" s="556"/>
      <c r="AI145" s="556"/>
      <c r="AJ145" s="556"/>
      <c r="AK145" s="1565">
        <v>11</v>
      </c>
    </row>
    <row r="146" spans="1:37" s="1565" customFormat="1" ht="11.45" customHeight="1">
      <c r="A146" s="914"/>
      <c r="B146" s="914"/>
      <c r="C146" s="914"/>
      <c r="D146" s="914"/>
      <c r="E146" s="914"/>
      <c r="F146" s="1560"/>
      <c r="G146" s="1560"/>
      <c r="H146" s="285"/>
      <c r="N146" s="1290"/>
      <c r="P146" s="1290"/>
      <c r="Q146" s="1560"/>
      <c r="R146" s="1560"/>
      <c r="S146" s="1290"/>
      <c r="T146" s="1290"/>
      <c r="U146" s="1290"/>
      <c r="V146" s="1290"/>
      <c r="W146" s="1560"/>
      <c r="X146" s="1290"/>
      <c r="Y146" s="1290"/>
      <c r="Z146" s="478"/>
      <c r="AA146" s="1290"/>
      <c r="AB146" s="1290"/>
      <c r="AC146" s="1290"/>
      <c r="AD146" s="1290"/>
      <c r="AE146" s="1290"/>
      <c r="AF146" s="1556"/>
      <c r="AG146" s="556"/>
      <c r="AH146" s="556"/>
      <c r="AI146" s="556"/>
      <c r="AJ146" s="556"/>
      <c r="AK146" s="1565">
        <v>11</v>
      </c>
    </row>
    <row r="147" spans="1:37" s="1565" customFormat="1" ht="11.45" customHeight="1">
      <c r="A147" s="914"/>
      <c r="B147" s="914"/>
      <c r="C147" s="914"/>
      <c r="D147" s="914"/>
      <c r="E147" s="914"/>
      <c r="F147" s="1560"/>
      <c r="G147" s="1560"/>
      <c r="H147" s="285"/>
      <c r="N147" s="1290"/>
      <c r="P147" s="1290"/>
      <c r="Q147" s="1560"/>
      <c r="R147" s="1560"/>
      <c r="S147" s="1290"/>
      <c r="T147" s="1290"/>
      <c r="U147" s="1290"/>
      <c r="V147" s="1290"/>
      <c r="W147" s="1560"/>
      <c r="X147" s="1290"/>
      <c r="Y147" s="1290"/>
      <c r="Z147" s="478"/>
      <c r="AA147" s="1290"/>
      <c r="AB147" s="1290"/>
      <c r="AC147" s="1290"/>
      <c r="AD147" s="1290"/>
      <c r="AE147" s="1290"/>
      <c r="AF147" s="1556"/>
      <c r="AG147" s="556"/>
      <c r="AH147" s="556"/>
      <c r="AI147" s="556"/>
      <c r="AJ147" s="556"/>
      <c r="AK147" s="1565">
        <v>11</v>
      </c>
    </row>
    <row r="148" spans="1:37" s="1565" customFormat="1" ht="11.45" customHeight="1">
      <c r="A148" s="914"/>
      <c r="B148" s="914"/>
      <c r="C148" s="914"/>
      <c r="D148" s="914"/>
      <c r="E148" s="914"/>
      <c r="F148" s="1560"/>
      <c r="G148" s="1560"/>
      <c r="H148" s="285"/>
      <c r="N148" s="1290"/>
      <c r="P148" s="1290"/>
      <c r="Q148" s="1560"/>
      <c r="R148" s="1560"/>
      <c r="S148" s="1290"/>
      <c r="T148" s="1290"/>
      <c r="U148" s="1290"/>
      <c r="V148" s="1290"/>
      <c r="W148" s="1560"/>
      <c r="X148" s="1290"/>
      <c r="Y148" s="1290"/>
      <c r="Z148" s="478"/>
      <c r="AA148" s="1290"/>
      <c r="AB148" s="1290"/>
      <c r="AC148" s="1290"/>
      <c r="AD148" s="1290"/>
      <c r="AE148" s="1290"/>
      <c r="AF148" s="1556"/>
      <c r="AG148" s="556"/>
      <c r="AH148" s="556"/>
      <c r="AI148" s="556"/>
      <c r="AJ148" s="556"/>
      <c r="AK148" s="1565">
        <v>11</v>
      </c>
    </row>
    <row r="149" spans="1:37" s="1565" customFormat="1" ht="11.45" customHeight="1">
      <c r="A149" s="914"/>
      <c r="B149" s="914"/>
      <c r="C149" s="914"/>
      <c r="D149" s="914"/>
      <c r="E149" s="914"/>
      <c r="F149" s="1560"/>
      <c r="G149" s="1560"/>
      <c r="H149" s="285"/>
      <c r="N149" s="1290"/>
      <c r="P149" s="1290"/>
      <c r="Q149" s="1560"/>
      <c r="R149" s="1560"/>
      <c r="S149" s="1290"/>
      <c r="T149" s="1290"/>
      <c r="U149" s="1290"/>
      <c r="V149" s="1290"/>
      <c r="W149" s="1560"/>
      <c r="X149" s="1290"/>
      <c r="Y149" s="1290"/>
      <c r="Z149" s="478"/>
      <c r="AA149" s="1290"/>
      <c r="AB149" s="1290"/>
      <c r="AC149" s="1290"/>
      <c r="AD149" s="1290"/>
      <c r="AE149" s="1290"/>
      <c r="AF149" s="1556"/>
      <c r="AG149" s="556"/>
      <c r="AH149" s="556"/>
      <c r="AI149" s="556"/>
      <c r="AJ149" s="556"/>
      <c r="AK149" s="1565">
        <v>11</v>
      </c>
    </row>
    <row r="150" spans="1:37" s="1565" customFormat="1" ht="11.45" customHeight="1">
      <c r="A150" s="914"/>
      <c r="B150" s="914"/>
      <c r="C150" s="914"/>
      <c r="D150" s="914"/>
      <c r="E150" s="914"/>
      <c r="F150" s="1560"/>
      <c r="G150" s="1560"/>
      <c r="H150" s="285"/>
      <c r="N150" s="1290"/>
      <c r="P150" s="1290"/>
      <c r="Q150" s="1560"/>
      <c r="R150" s="1560"/>
      <c r="S150" s="1290"/>
      <c r="T150" s="1290"/>
      <c r="U150" s="1290"/>
      <c r="V150" s="1290"/>
      <c r="W150" s="1560"/>
      <c r="X150" s="1290"/>
      <c r="Y150" s="1290"/>
      <c r="Z150" s="478"/>
      <c r="AA150" s="1290"/>
      <c r="AB150" s="1290"/>
      <c r="AC150" s="1290"/>
      <c r="AD150" s="1290"/>
      <c r="AE150" s="1290"/>
      <c r="AF150" s="1556"/>
      <c r="AG150" s="556"/>
      <c r="AH150" s="556"/>
      <c r="AI150" s="556"/>
      <c r="AJ150" s="556"/>
      <c r="AK150" s="1565">
        <v>11</v>
      </c>
    </row>
    <row r="151" spans="1:37" s="1565" customFormat="1" ht="11.45" customHeight="1">
      <c r="A151" s="914"/>
      <c r="B151" s="914"/>
      <c r="C151" s="914"/>
      <c r="D151" s="914"/>
      <c r="E151" s="914"/>
      <c r="F151" s="1560"/>
      <c r="G151" s="1560"/>
      <c r="H151" s="285"/>
      <c r="N151" s="1290"/>
      <c r="P151" s="1290"/>
      <c r="Q151" s="1560"/>
      <c r="R151" s="1560"/>
      <c r="S151" s="1290"/>
      <c r="T151" s="1290"/>
      <c r="U151" s="1290"/>
      <c r="V151" s="1290"/>
      <c r="W151" s="1560"/>
      <c r="X151" s="1290"/>
      <c r="Y151" s="1290"/>
      <c r="Z151" s="478"/>
      <c r="AA151" s="1290"/>
      <c r="AB151" s="1290"/>
      <c r="AC151" s="1290"/>
      <c r="AD151" s="1290"/>
      <c r="AE151" s="1290"/>
      <c r="AF151" s="1556"/>
      <c r="AG151" s="556"/>
      <c r="AH151" s="556"/>
      <c r="AI151" s="556"/>
      <c r="AJ151" s="556"/>
      <c r="AK151" s="1565">
        <v>11</v>
      </c>
    </row>
    <row r="152" spans="1:37" s="1565" customFormat="1" ht="11.45" customHeight="1">
      <c r="A152" s="914"/>
      <c r="B152" s="914"/>
      <c r="C152" s="914"/>
      <c r="D152" s="914"/>
      <c r="E152" s="914"/>
      <c r="F152" s="1560"/>
      <c r="G152" s="1560"/>
      <c r="H152" s="285"/>
      <c r="N152" s="1290"/>
      <c r="P152" s="1290"/>
      <c r="Q152" s="1560"/>
      <c r="R152" s="1560"/>
      <c r="S152" s="1290"/>
      <c r="T152" s="1290"/>
      <c r="U152" s="1290"/>
      <c r="V152" s="1290"/>
      <c r="W152" s="1560"/>
      <c r="X152" s="1290"/>
      <c r="Y152" s="1290"/>
      <c r="Z152" s="478"/>
      <c r="AA152" s="1290"/>
      <c r="AB152" s="1290"/>
      <c r="AC152" s="1290"/>
      <c r="AD152" s="1290"/>
      <c r="AE152" s="1290"/>
      <c r="AF152" s="1556"/>
      <c r="AG152" s="556"/>
      <c r="AH152" s="556"/>
      <c r="AI152" s="556"/>
      <c r="AJ152" s="556"/>
      <c r="AK152" s="1565">
        <v>11</v>
      </c>
    </row>
    <row r="153" spans="1:37" s="1565" customFormat="1" ht="11.45" customHeight="1">
      <c r="A153" s="914"/>
      <c r="B153" s="914"/>
      <c r="C153" s="914"/>
      <c r="D153" s="914"/>
      <c r="E153" s="914"/>
      <c r="F153" s="1560"/>
      <c r="G153" s="1560"/>
      <c r="H153" s="285"/>
      <c r="N153" s="1290"/>
      <c r="P153" s="1290"/>
      <c r="Q153" s="1560"/>
      <c r="R153" s="1560"/>
      <c r="S153" s="1290"/>
      <c r="T153" s="1290"/>
      <c r="U153" s="1290"/>
      <c r="V153" s="1290"/>
      <c r="W153" s="1560"/>
      <c r="X153" s="1290"/>
      <c r="Y153" s="1290"/>
      <c r="Z153" s="478"/>
      <c r="AA153" s="1290"/>
      <c r="AB153" s="1290"/>
      <c r="AC153" s="1290"/>
      <c r="AD153" s="1290"/>
      <c r="AE153" s="1290"/>
      <c r="AF153" s="1556"/>
      <c r="AG153" s="556"/>
      <c r="AH153" s="556"/>
      <c r="AI153" s="556"/>
      <c r="AJ153" s="556"/>
      <c r="AK153" s="1565">
        <v>11</v>
      </c>
    </row>
    <row r="154" spans="1:37" s="1565" customFormat="1" ht="11.45" customHeight="1">
      <c r="A154" s="914"/>
      <c r="B154" s="914"/>
      <c r="C154" s="914"/>
      <c r="D154" s="914"/>
      <c r="E154" s="914"/>
      <c r="F154" s="1560"/>
      <c r="G154" s="1560"/>
      <c r="H154" s="285"/>
      <c r="N154" s="1290"/>
      <c r="P154" s="1290"/>
      <c r="Q154" s="1560"/>
      <c r="R154" s="1560"/>
      <c r="S154" s="1290"/>
      <c r="T154" s="1290"/>
      <c r="U154" s="1290"/>
      <c r="V154" s="1290"/>
      <c r="W154" s="1560"/>
      <c r="X154" s="1290"/>
      <c r="Y154" s="1290"/>
      <c r="Z154" s="478"/>
      <c r="AA154" s="1290"/>
      <c r="AB154" s="1290"/>
      <c r="AC154" s="1290"/>
      <c r="AD154" s="1290"/>
      <c r="AE154" s="1290"/>
      <c r="AF154" s="1556"/>
      <c r="AG154" s="556"/>
      <c r="AH154" s="556"/>
      <c r="AI154" s="556"/>
      <c r="AJ154" s="556"/>
      <c r="AK154" s="1565">
        <v>11</v>
      </c>
    </row>
    <row r="155" spans="1:37" s="1565" customFormat="1" ht="11.45" customHeight="1">
      <c r="A155" s="914"/>
      <c r="B155" s="914"/>
      <c r="C155" s="914"/>
      <c r="D155" s="914"/>
      <c r="E155" s="914"/>
      <c r="F155" s="1560"/>
      <c r="G155" s="1560"/>
      <c r="H155" s="285"/>
      <c r="N155" s="1290"/>
      <c r="P155" s="1290"/>
      <c r="Q155" s="1560"/>
      <c r="R155" s="1560"/>
      <c r="S155" s="1290"/>
      <c r="T155" s="1290"/>
      <c r="U155" s="1290"/>
      <c r="V155" s="1290"/>
      <c r="W155" s="1560"/>
      <c r="X155" s="1290"/>
      <c r="Y155" s="1290"/>
      <c r="Z155" s="478"/>
      <c r="AA155" s="1290"/>
      <c r="AB155" s="1290"/>
      <c r="AC155" s="1290"/>
      <c r="AD155" s="1290"/>
      <c r="AE155" s="1290"/>
      <c r="AF155" s="1556"/>
      <c r="AG155" s="556"/>
      <c r="AH155" s="556"/>
      <c r="AI155" s="556"/>
      <c r="AJ155" s="556"/>
      <c r="AK155" s="1565">
        <v>11</v>
      </c>
    </row>
    <row r="156" spans="1:37" s="1565" customFormat="1" ht="11.45" customHeight="1">
      <c r="A156" s="914"/>
      <c r="B156" s="914"/>
      <c r="C156" s="914"/>
      <c r="D156" s="914"/>
      <c r="E156" s="914"/>
      <c r="F156" s="1560"/>
      <c r="G156" s="1560"/>
      <c r="H156" s="285"/>
      <c r="N156" s="1290"/>
      <c r="P156" s="1290"/>
      <c r="Q156" s="1560"/>
      <c r="R156" s="1560"/>
      <c r="S156" s="1290"/>
      <c r="T156" s="1290"/>
      <c r="U156" s="1290"/>
      <c r="V156" s="1290"/>
      <c r="W156" s="1560"/>
      <c r="X156" s="1290"/>
      <c r="Y156" s="1290"/>
      <c r="Z156" s="478"/>
      <c r="AA156" s="1290"/>
      <c r="AB156" s="1290"/>
      <c r="AC156" s="1290"/>
      <c r="AD156" s="1290"/>
      <c r="AE156" s="1290"/>
      <c r="AF156" s="1556"/>
      <c r="AG156" s="556"/>
      <c r="AH156" s="556"/>
      <c r="AI156" s="556"/>
      <c r="AJ156" s="556"/>
      <c r="AK156" s="1565">
        <v>11</v>
      </c>
    </row>
    <row r="157" spans="1:37" s="1565" customFormat="1" ht="11.45" customHeight="1">
      <c r="A157" s="914"/>
      <c r="B157" s="914"/>
      <c r="C157" s="914"/>
      <c r="D157" s="914"/>
      <c r="E157" s="914"/>
      <c r="F157" s="1560"/>
      <c r="G157" s="1560"/>
      <c r="H157" s="285"/>
      <c r="N157" s="1290"/>
      <c r="P157" s="1290"/>
      <c r="Q157" s="1560"/>
      <c r="R157" s="1560"/>
      <c r="S157" s="1290"/>
      <c r="T157" s="1290"/>
      <c r="U157" s="1290"/>
      <c r="V157" s="1290"/>
      <c r="W157" s="1560"/>
      <c r="X157" s="1290"/>
      <c r="Y157" s="1290"/>
      <c r="Z157" s="478"/>
      <c r="AA157" s="1290"/>
      <c r="AB157" s="1290"/>
      <c r="AC157" s="1290"/>
      <c r="AD157" s="1290"/>
      <c r="AE157" s="1290"/>
      <c r="AF157" s="1556"/>
      <c r="AG157" s="556"/>
      <c r="AH157" s="556"/>
      <c r="AI157" s="556"/>
      <c r="AJ157" s="556"/>
      <c r="AK157" s="1565">
        <v>11</v>
      </c>
    </row>
    <row r="158" spans="1:37" s="1565" customFormat="1" ht="11.45" customHeight="1">
      <c r="A158" s="914"/>
      <c r="B158" s="914"/>
      <c r="C158" s="914"/>
      <c r="D158" s="914"/>
      <c r="E158" s="914"/>
      <c r="F158" s="1560"/>
      <c r="G158" s="1560"/>
      <c r="H158" s="285"/>
      <c r="N158" s="1290"/>
      <c r="P158" s="1290"/>
      <c r="Q158" s="1560"/>
      <c r="R158" s="1560"/>
      <c r="S158" s="1290"/>
      <c r="T158" s="1290"/>
      <c r="U158" s="1290"/>
      <c r="V158" s="1290"/>
      <c r="W158" s="1560"/>
      <c r="X158" s="1290"/>
      <c r="Y158" s="1290"/>
      <c r="Z158" s="478"/>
      <c r="AA158" s="1290"/>
      <c r="AB158" s="1290"/>
      <c r="AC158" s="1290"/>
      <c r="AD158" s="1290"/>
      <c r="AE158" s="1290"/>
      <c r="AF158" s="1556"/>
      <c r="AG158" s="556"/>
      <c r="AH158" s="556"/>
      <c r="AI158" s="556"/>
      <c r="AJ158" s="556"/>
      <c r="AK158" s="1565">
        <v>11</v>
      </c>
    </row>
    <row r="159" spans="1:37" s="1565" customFormat="1" ht="11.45" customHeight="1">
      <c r="A159" s="914"/>
      <c r="B159" s="914"/>
      <c r="C159" s="914"/>
      <c r="D159" s="914"/>
      <c r="E159" s="914"/>
      <c r="F159" s="1560"/>
      <c r="G159" s="1560"/>
      <c r="H159" s="285"/>
      <c r="N159" s="1290"/>
      <c r="P159" s="1290"/>
      <c r="Q159" s="1560"/>
      <c r="R159" s="1560"/>
      <c r="S159" s="1290"/>
      <c r="T159" s="1290"/>
      <c r="U159" s="1290"/>
      <c r="V159" s="1290"/>
      <c r="W159" s="1560"/>
      <c r="X159" s="1290"/>
      <c r="Y159" s="1290"/>
      <c r="Z159" s="478"/>
      <c r="AA159" s="1290"/>
      <c r="AB159" s="1290"/>
      <c r="AC159" s="1290"/>
      <c r="AD159" s="1290"/>
      <c r="AE159" s="1290"/>
      <c r="AF159" s="1556"/>
      <c r="AG159" s="556"/>
      <c r="AH159" s="556"/>
      <c r="AI159" s="556"/>
      <c r="AJ159" s="556"/>
      <c r="AK159" s="1565">
        <v>11</v>
      </c>
    </row>
    <row r="160" spans="1:37" s="1565" customFormat="1" ht="11.45" customHeight="1">
      <c r="A160" s="914"/>
      <c r="B160" s="914"/>
      <c r="C160" s="914"/>
      <c r="D160" s="914"/>
      <c r="E160" s="914"/>
      <c r="F160" s="1560"/>
      <c r="G160" s="1560"/>
      <c r="H160" s="285"/>
      <c r="N160" s="1290"/>
      <c r="P160" s="1290"/>
      <c r="Q160" s="1560"/>
      <c r="R160" s="1560"/>
      <c r="S160" s="1290"/>
      <c r="T160" s="1290"/>
      <c r="U160" s="1290"/>
      <c r="V160" s="1290"/>
      <c r="W160" s="1560"/>
      <c r="X160" s="1290"/>
      <c r="Y160" s="1290"/>
      <c r="Z160" s="478"/>
      <c r="AA160" s="1290"/>
      <c r="AB160" s="1290"/>
      <c r="AC160" s="1290"/>
      <c r="AD160" s="1290"/>
      <c r="AE160" s="1290"/>
      <c r="AF160" s="1556"/>
      <c r="AG160" s="556"/>
      <c r="AH160" s="556"/>
      <c r="AI160" s="556"/>
      <c r="AJ160" s="556"/>
      <c r="AK160" s="1565">
        <v>11</v>
      </c>
    </row>
    <row r="161" spans="1:37" s="1565" customFormat="1" ht="11.45" customHeight="1">
      <c r="A161" s="914"/>
      <c r="B161" s="914"/>
      <c r="C161" s="914"/>
      <c r="D161" s="914"/>
      <c r="E161" s="914"/>
      <c r="F161" s="1560"/>
      <c r="G161" s="1560"/>
      <c r="H161" s="285"/>
      <c r="N161" s="1290"/>
      <c r="P161" s="1290"/>
      <c r="Q161" s="1560"/>
      <c r="R161" s="1560"/>
      <c r="S161" s="1290"/>
      <c r="T161" s="1290"/>
      <c r="U161" s="1290"/>
      <c r="V161" s="1290"/>
      <c r="W161" s="1560"/>
      <c r="X161" s="1290"/>
      <c r="Y161" s="1290"/>
      <c r="Z161" s="478"/>
      <c r="AA161" s="1290"/>
      <c r="AB161" s="1290"/>
      <c r="AC161" s="1290"/>
      <c r="AD161" s="1290"/>
      <c r="AE161" s="1290"/>
      <c r="AF161" s="1556"/>
      <c r="AG161" s="556"/>
      <c r="AH161" s="556"/>
      <c r="AI161" s="556"/>
      <c r="AJ161" s="556"/>
      <c r="AK161" s="1565">
        <v>11</v>
      </c>
    </row>
    <row r="162" spans="1:37" s="1565" customFormat="1" ht="11.45" customHeight="1">
      <c r="A162" s="914"/>
      <c r="B162" s="914"/>
      <c r="C162" s="914"/>
      <c r="D162" s="914"/>
      <c r="E162" s="914"/>
      <c r="F162" s="1560"/>
      <c r="G162" s="1560"/>
      <c r="H162" s="285"/>
      <c r="N162" s="1290"/>
      <c r="P162" s="1290"/>
      <c r="Q162" s="1560"/>
      <c r="R162" s="1560"/>
      <c r="S162" s="1290"/>
      <c r="T162" s="1290"/>
      <c r="U162" s="1290"/>
      <c r="V162" s="1290"/>
      <c r="W162" s="1560"/>
      <c r="X162" s="1290"/>
      <c r="Y162" s="1290"/>
      <c r="Z162" s="478"/>
      <c r="AA162" s="1290"/>
      <c r="AB162" s="1290"/>
      <c r="AC162" s="1290"/>
      <c r="AD162" s="1290"/>
      <c r="AE162" s="1290"/>
      <c r="AF162" s="1556"/>
      <c r="AG162" s="556"/>
      <c r="AH162" s="556"/>
      <c r="AI162" s="556"/>
      <c r="AJ162" s="556"/>
      <c r="AK162" s="1565">
        <v>11</v>
      </c>
    </row>
    <row r="163" spans="1:37" s="1565" customFormat="1" ht="11.45" customHeight="1">
      <c r="A163" s="914"/>
      <c r="B163" s="914"/>
      <c r="C163" s="914"/>
      <c r="D163" s="914"/>
      <c r="E163" s="914"/>
      <c r="F163" s="1560"/>
      <c r="G163" s="1560"/>
      <c r="H163" s="285"/>
      <c r="N163" s="1290"/>
      <c r="P163" s="1290"/>
      <c r="Q163" s="1560"/>
      <c r="R163" s="1560"/>
      <c r="S163" s="1290"/>
      <c r="T163" s="1290"/>
      <c r="U163" s="1290"/>
      <c r="V163" s="1290"/>
      <c r="W163" s="1560"/>
      <c r="X163" s="1290"/>
      <c r="Y163" s="1290"/>
      <c r="Z163" s="478"/>
      <c r="AA163" s="1290"/>
      <c r="AB163" s="1290"/>
      <c r="AC163" s="1290"/>
      <c r="AD163" s="1290"/>
      <c r="AE163" s="1290"/>
      <c r="AF163" s="1556"/>
      <c r="AG163" s="556"/>
      <c r="AH163" s="556"/>
      <c r="AI163" s="556"/>
      <c r="AJ163" s="556"/>
      <c r="AK163" s="1565">
        <v>11</v>
      </c>
    </row>
    <row r="164" spans="1:37" s="1565" customFormat="1" ht="11.45" customHeight="1">
      <c r="A164" s="914"/>
      <c r="B164" s="914"/>
      <c r="C164" s="914"/>
      <c r="D164" s="914"/>
      <c r="E164" s="914"/>
      <c r="F164" s="1560"/>
      <c r="G164" s="1560"/>
      <c r="H164" s="285"/>
      <c r="N164" s="1290"/>
      <c r="P164" s="1290"/>
      <c r="Q164" s="1560"/>
      <c r="R164" s="1560"/>
      <c r="S164" s="1290"/>
      <c r="T164" s="1290"/>
      <c r="U164" s="1290"/>
      <c r="V164" s="1290"/>
      <c r="W164" s="1560"/>
      <c r="X164" s="1290"/>
      <c r="Y164" s="1290"/>
      <c r="Z164" s="478"/>
      <c r="AA164" s="1290"/>
      <c r="AB164" s="1290"/>
      <c r="AC164" s="1290"/>
      <c r="AD164" s="1290"/>
      <c r="AE164" s="1290"/>
      <c r="AF164" s="1556"/>
      <c r="AG164" s="556"/>
      <c r="AH164" s="556"/>
      <c r="AI164" s="556"/>
      <c r="AJ164" s="556"/>
      <c r="AK164" s="1565">
        <v>11</v>
      </c>
    </row>
    <row r="165" spans="1:37" s="1565" customFormat="1" ht="11.45" customHeight="1">
      <c r="A165" s="914"/>
      <c r="B165" s="914"/>
      <c r="C165" s="914"/>
      <c r="D165" s="914"/>
      <c r="E165" s="914"/>
      <c r="F165" s="1560"/>
      <c r="G165" s="1560"/>
      <c r="H165" s="285"/>
      <c r="N165" s="1290"/>
      <c r="P165" s="1290"/>
      <c r="Q165" s="1560"/>
      <c r="R165" s="1560"/>
      <c r="S165" s="1290"/>
      <c r="T165" s="1290"/>
      <c r="U165" s="1290"/>
      <c r="V165" s="1290"/>
      <c r="W165" s="1560"/>
      <c r="X165" s="1290"/>
      <c r="Y165" s="1290"/>
      <c r="Z165" s="478"/>
      <c r="AA165" s="1290"/>
      <c r="AB165" s="1290"/>
      <c r="AC165" s="1290"/>
      <c r="AD165" s="1290"/>
      <c r="AE165" s="1290"/>
      <c r="AF165" s="1556"/>
      <c r="AG165" s="556"/>
      <c r="AH165" s="556"/>
      <c r="AI165" s="556"/>
      <c r="AJ165" s="556"/>
      <c r="AK165" s="1565">
        <v>11</v>
      </c>
    </row>
    <row r="166" spans="1:37" s="1565" customFormat="1" ht="11.45" customHeight="1">
      <c r="A166" s="914"/>
      <c r="B166" s="914"/>
      <c r="C166" s="914"/>
      <c r="D166" s="914"/>
      <c r="E166" s="914"/>
      <c r="F166" s="1560"/>
      <c r="G166" s="1560"/>
      <c r="H166" s="285"/>
      <c r="N166" s="1290"/>
      <c r="P166" s="1290"/>
      <c r="Q166" s="1560"/>
      <c r="R166" s="1560"/>
      <c r="S166" s="1290"/>
      <c r="T166" s="1290"/>
      <c r="U166" s="1290"/>
      <c r="V166" s="1290"/>
      <c r="W166" s="1560"/>
      <c r="X166" s="1290"/>
      <c r="Y166" s="1290"/>
      <c r="Z166" s="478"/>
      <c r="AA166" s="1290"/>
      <c r="AB166" s="1290"/>
      <c r="AC166" s="1290"/>
      <c r="AD166" s="1290"/>
      <c r="AE166" s="1290"/>
      <c r="AF166" s="1556"/>
      <c r="AG166" s="556"/>
      <c r="AH166" s="556"/>
      <c r="AI166" s="556"/>
      <c r="AJ166" s="556"/>
      <c r="AK166" s="1565">
        <v>11</v>
      </c>
    </row>
    <row r="167" spans="1:37" s="1565" customFormat="1" ht="11.45" customHeight="1">
      <c r="A167" s="914"/>
      <c r="B167" s="914"/>
      <c r="C167" s="914"/>
      <c r="D167" s="914"/>
      <c r="E167" s="914"/>
      <c r="F167" s="1560"/>
      <c r="G167" s="1560"/>
      <c r="H167" s="285"/>
      <c r="N167" s="1290"/>
      <c r="P167" s="1290"/>
      <c r="Q167" s="1560"/>
      <c r="R167" s="1560"/>
      <c r="S167" s="1290"/>
      <c r="T167" s="1290"/>
      <c r="U167" s="1290"/>
      <c r="V167" s="1290"/>
      <c r="W167" s="1560"/>
      <c r="X167" s="1290"/>
      <c r="Y167" s="1290"/>
      <c r="Z167" s="478"/>
      <c r="AA167" s="1290"/>
      <c r="AB167" s="1290"/>
      <c r="AC167" s="1290"/>
      <c r="AD167" s="1290"/>
      <c r="AE167" s="1290"/>
      <c r="AF167" s="1556"/>
      <c r="AG167" s="556"/>
      <c r="AH167" s="556"/>
      <c r="AI167" s="556"/>
      <c r="AJ167" s="556"/>
      <c r="AK167" s="1565">
        <v>11</v>
      </c>
    </row>
    <row r="168" spans="1:37" s="1565" customFormat="1" ht="11.45" customHeight="1">
      <c r="A168" s="914"/>
      <c r="B168" s="914"/>
      <c r="C168" s="914"/>
      <c r="D168" s="914"/>
      <c r="E168" s="914"/>
      <c r="F168" s="1560"/>
      <c r="G168" s="1560"/>
      <c r="H168" s="285"/>
      <c r="N168" s="1290"/>
      <c r="P168" s="1290"/>
      <c r="Q168" s="1560"/>
      <c r="R168" s="1560"/>
      <c r="S168" s="1290"/>
      <c r="T168" s="1290"/>
      <c r="U168" s="1290"/>
      <c r="V168" s="1290"/>
      <c r="W168" s="1560"/>
      <c r="X168" s="1290"/>
      <c r="Y168" s="1290"/>
      <c r="Z168" s="478"/>
      <c r="AA168" s="1290"/>
      <c r="AB168" s="1290"/>
      <c r="AC168" s="1290"/>
      <c r="AD168" s="1290"/>
      <c r="AE168" s="1290"/>
      <c r="AF168" s="1556"/>
      <c r="AG168" s="556"/>
      <c r="AH168" s="556"/>
      <c r="AI168" s="556"/>
      <c r="AJ168" s="556"/>
      <c r="AK168" s="1565">
        <v>11</v>
      </c>
    </row>
    <row r="169" spans="1:37" s="1565" customFormat="1" ht="11.45" customHeight="1">
      <c r="A169" s="914"/>
      <c r="B169" s="914"/>
      <c r="C169" s="914"/>
      <c r="D169" s="914"/>
      <c r="E169" s="914"/>
      <c r="F169" s="1560"/>
      <c r="G169" s="1560"/>
      <c r="H169" s="285"/>
      <c r="N169" s="1290"/>
      <c r="P169" s="1290"/>
      <c r="Q169" s="1560"/>
      <c r="R169" s="1560"/>
      <c r="S169" s="1290"/>
      <c r="T169" s="1290"/>
      <c r="U169" s="1290"/>
      <c r="V169" s="1290"/>
      <c r="W169" s="1560"/>
      <c r="X169" s="1290"/>
      <c r="Y169" s="1290"/>
      <c r="Z169" s="478"/>
      <c r="AA169" s="1290"/>
      <c r="AB169" s="1290"/>
      <c r="AC169" s="1290"/>
      <c r="AD169" s="1290"/>
      <c r="AE169" s="1290"/>
      <c r="AF169" s="1556"/>
      <c r="AG169" s="556"/>
      <c r="AH169" s="556"/>
      <c r="AI169" s="556"/>
      <c r="AJ169" s="556"/>
      <c r="AK169" s="1565">
        <v>11</v>
      </c>
    </row>
    <row r="170" spans="1:37" s="1565" customFormat="1" ht="11.45" customHeight="1">
      <c r="A170" s="914"/>
      <c r="B170" s="914"/>
      <c r="C170" s="914"/>
      <c r="D170" s="914"/>
      <c r="E170" s="914"/>
      <c r="F170" s="1560"/>
      <c r="G170" s="1560"/>
      <c r="H170" s="285"/>
      <c r="N170" s="1290"/>
      <c r="P170" s="1290"/>
      <c r="Q170" s="1560"/>
      <c r="R170" s="1560"/>
      <c r="S170" s="1290"/>
      <c r="T170" s="1290"/>
      <c r="U170" s="1290"/>
      <c r="V170" s="1290"/>
      <c r="W170" s="1560"/>
      <c r="X170" s="1290"/>
      <c r="Y170" s="1290"/>
      <c r="Z170" s="478"/>
      <c r="AA170" s="1290"/>
      <c r="AB170" s="1290"/>
      <c r="AC170" s="1290"/>
      <c r="AD170" s="1290"/>
      <c r="AE170" s="1290"/>
      <c r="AF170" s="1556"/>
      <c r="AG170" s="556"/>
      <c r="AH170" s="556"/>
      <c r="AI170" s="556"/>
      <c r="AJ170" s="556"/>
      <c r="AK170" s="1565">
        <v>11</v>
      </c>
    </row>
    <row r="171" spans="1:37" s="1565" customFormat="1" ht="11.45" customHeight="1">
      <c r="A171" s="914"/>
      <c r="B171" s="914"/>
      <c r="C171" s="914"/>
      <c r="D171" s="914"/>
      <c r="E171" s="914"/>
      <c r="F171" s="1560"/>
      <c r="G171" s="1560"/>
      <c r="H171" s="285"/>
      <c r="N171" s="1290"/>
      <c r="P171" s="1290"/>
      <c r="Q171" s="1560"/>
      <c r="R171" s="1560"/>
      <c r="S171" s="1290"/>
      <c r="T171" s="1290"/>
      <c r="U171" s="1290"/>
      <c r="V171" s="1290"/>
      <c r="W171" s="1560"/>
      <c r="X171" s="1290"/>
      <c r="Y171" s="1290"/>
      <c r="Z171" s="478"/>
      <c r="AA171" s="1290"/>
      <c r="AB171" s="1290"/>
      <c r="AC171" s="1290"/>
      <c r="AD171" s="1290"/>
      <c r="AE171" s="1290"/>
      <c r="AF171" s="1556"/>
      <c r="AG171" s="556"/>
      <c r="AH171" s="556"/>
      <c r="AI171" s="556"/>
      <c r="AJ171" s="556"/>
      <c r="AK171" s="1565">
        <v>11</v>
      </c>
    </row>
    <row r="172" spans="1:37" s="1565" customFormat="1" ht="11.45" customHeight="1">
      <c r="A172" s="914"/>
      <c r="B172" s="914"/>
      <c r="C172" s="914"/>
      <c r="D172" s="914"/>
      <c r="E172" s="914"/>
      <c r="F172" s="1560"/>
      <c r="G172" s="1560"/>
      <c r="H172" s="285"/>
      <c r="N172" s="1290"/>
      <c r="P172" s="1290"/>
      <c r="Q172" s="1560"/>
      <c r="R172" s="1560"/>
      <c r="S172" s="1290"/>
      <c r="T172" s="1290"/>
      <c r="U172" s="1290"/>
      <c r="V172" s="1290"/>
      <c r="W172" s="1560"/>
      <c r="X172" s="1290"/>
      <c r="Y172" s="1290"/>
      <c r="Z172" s="478"/>
      <c r="AA172" s="1290"/>
      <c r="AB172" s="1290"/>
      <c r="AC172" s="1290"/>
      <c r="AD172" s="1290"/>
      <c r="AE172" s="1290"/>
      <c r="AF172" s="1556"/>
      <c r="AG172" s="556"/>
      <c r="AH172" s="556"/>
      <c r="AI172" s="556"/>
      <c r="AJ172" s="556"/>
      <c r="AK172" s="1565">
        <v>11</v>
      </c>
    </row>
    <row r="173" spans="1:37" s="1565" customFormat="1" ht="11.45" customHeight="1">
      <c r="A173" s="914"/>
      <c r="B173" s="914"/>
      <c r="C173" s="914"/>
      <c r="D173" s="914"/>
      <c r="E173" s="914"/>
      <c r="F173" s="1560"/>
      <c r="G173" s="1560"/>
      <c r="H173" s="285"/>
      <c r="N173" s="1290"/>
      <c r="P173" s="1290"/>
      <c r="Q173" s="1560"/>
      <c r="R173" s="1560"/>
      <c r="S173" s="1290"/>
      <c r="T173" s="1290"/>
      <c r="U173" s="1290"/>
      <c r="V173" s="1290"/>
      <c r="W173" s="1560"/>
      <c r="X173" s="1290"/>
      <c r="Y173" s="1290"/>
      <c r="Z173" s="478"/>
      <c r="AA173" s="1290"/>
      <c r="AB173" s="1290"/>
      <c r="AC173" s="1290"/>
      <c r="AD173" s="1290"/>
      <c r="AE173" s="1290"/>
      <c r="AF173" s="1556"/>
      <c r="AG173" s="556"/>
      <c r="AH173" s="556"/>
      <c r="AI173" s="556"/>
      <c r="AJ173" s="556"/>
      <c r="AK173" s="1565">
        <v>11</v>
      </c>
    </row>
    <row r="174" spans="1:37" s="1565" customFormat="1" ht="11.45" customHeight="1">
      <c r="A174" s="914"/>
      <c r="B174" s="914"/>
      <c r="C174" s="914"/>
      <c r="D174" s="914"/>
      <c r="E174" s="914"/>
      <c r="F174" s="1560"/>
      <c r="G174" s="1560"/>
      <c r="H174" s="285"/>
      <c r="N174" s="1290"/>
      <c r="P174" s="1290"/>
      <c r="Q174" s="1560"/>
      <c r="R174" s="1560"/>
      <c r="S174" s="1290"/>
      <c r="T174" s="1290"/>
      <c r="U174" s="1290"/>
      <c r="V174" s="1290"/>
      <c r="W174" s="1560"/>
      <c r="X174" s="1290"/>
      <c r="Y174" s="1290"/>
      <c r="Z174" s="478"/>
      <c r="AA174" s="1290"/>
      <c r="AB174" s="1290"/>
      <c r="AC174" s="1290"/>
      <c r="AD174" s="1290"/>
      <c r="AE174" s="1290"/>
      <c r="AF174" s="1556"/>
      <c r="AG174" s="556"/>
      <c r="AH174" s="556"/>
      <c r="AI174" s="556"/>
      <c r="AJ174" s="556"/>
      <c r="AK174" s="1565">
        <v>11</v>
      </c>
    </row>
    <row r="175" spans="1:37" s="1565" customFormat="1" ht="11.45" customHeight="1">
      <c r="A175" s="914"/>
      <c r="B175" s="914"/>
      <c r="C175" s="914"/>
      <c r="D175" s="914"/>
      <c r="E175" s="914"/>
      <c r="F175" s="1560"/>
      <c r="G175" s="1560"/>
      <c r="H175" s="285"/>
      <c r="N175" s="1290"/>
      <c r="P175" s="1290"/>
      <c r="Q175" s="1560"/>
      <c r="R175" s="1560"/>
      <c r="S175" s="1290"/>
      <c r="T175" s="1290"/>
      <c r="U175" s="1290"/>
      <c r="V175" s="1290"/>
      <c r="W175" s="1560"/>
      <c r="X175" s="1290"/>
      <c r="Y175" s="1290"/>
      <c r="Z175" s="478"/>
      <c r="AA175" s="1290"/>
      <c r="AB175" s="1290"/>
      <c r="AC175" s="1290"/>
      <c r="AD175" s="1290"/>
      <c r="AE175" s="1290"/>
      <c r="AF175" s="1556"/>
      <c r="AG175" s="556"/>
      <c r="AH175" s="556"/>
      <c r="AI175" s="556"/>
      <c r="AJ175" s="556"/>
      <c r="AK175" s="1565">
        <v>11</v>
      </c>
    </row>
    <row r="176" spans="1:37" s="1565" customFormat="1" ht="11.45" customHeight="1">
      <c r="A176" s="914"/>
      <c r="B176" s="914"/>
      <c r="C176" s="914"/>
      <c r="D176" s="914"/>
      <c r="E176" s="914"/>
      <c r="F176" s="1560"/>
      <c r="G176" s="1560"/>
      <c r="H176" s="285"/>
      <c r="N176" s="1290"/>
      <c r="P176" s="1290"/>
      <c r="Q176" s="1560"/>
      <c r="R176" s="1560"/>
      <c r="S176" s="1290"/>
      <c r="T176" s="1290"/>
      <c r="U176" s="1290"/>
      <c r="V176" s="1290"/>
      <c r="W176" s="1560"/>
      <c r="X176" s="1290"/>
      <c r="Y176" s="1290"/>
      <c r="Z176" s="478"/>
      <c r="AA176" s="1290"/>
      <c r="AB176" s="1290"/>
      <c r="AC176" s="1290"/>
      <c r="AD176" s="1290"/>
      <c r="AE176" s="1290"/>
      <c r="AF176" s="1556"/>
      <c r="AG176" s="556"/>
      <c r="AH176" s="556"/>
      <c r="AI176" s="556"/>
      <c r="AJ176" s="556"/>
      <c r="AK176" s="1565">
        <v>11</v>
      </c>
    </row>
    <row r="177" spans="1:37" s="1565" customFormat="1" ht="11.45" customHeight="1">
      <c r="A177" s="914"/>
      <c r="B177" s="914"/>
      <c r="C177" s="914"/>
      <c r="D177" s="914"/>
      <c r="E177" s="914"/>
      <c r="F177" s="1560"/>
      <c r="G177" s="1560"/>
      <c r="H177" s="285"/>
      <c r="N177" s="1290"/>
      <c r="P177" s="1290"/>
      <c r="Q177" s="1560"/>
      <c r="R177" s="1560"/>
      <c r="S177" s="1290"/>
      <c r="T177" s="1290"/>
      <c r="U177" s="1290"/>
      <c r="V177" s="1290"/>
      <c r="W177" s="1560"/>
      <c r="X177" s="1290"/>
      <c r="Y177" s="1290"/>
      <c r="Z177" s="478"/>
      <c r="AA177" s="1290"/>
      <c r="AB177" s="1290"/>
      <c r="AC177" s="1290"/>
      <c r="AD177" s="1290"/>
      <c r="AE177" s="1290"/>
      <c r="AF177" s="1556"/>
      <c r="AG177" s="556"/>
      <c r="AH177" s="556"/>
      <c r="AI177" s="556"/>
      <c r="AJ177" s="556"/>
      <c r="AK177" s="1565">
        <v>11</v>
      </c>
    </row>
    <row r="178" spans="1:37" s="1565" customFormat="1" ht="11.45" customHeight="1">
      <c r="A178" s="914"/>
      <c r="B178" s="914"/>
      <c r="C178" s="914"/>
      <c r="D178" s="914"/>
      <c r="E178" s="914"/>
      <c r="F178" s="1560"/>
      <c r="G178" s="1560"/>
      <c r="H178" s="285"/>
      <c r="N178" s="1290"/>
      <c r="P178" s="1290"/>
      <c r="Q178" s="1560"/>
      <c r="R178" s="1560"/>
      <c r="S178" s="1290"/>
      <c r="T178" s="1290"/>
      <c r="U178" s="1290"/>
      <c r="V178" s="1290"/>
      <c r="W178" s="1560"/>
      <c r="X178" s="1290"/>
      <c r="Y178" s="1290"/>
      <c r="Z178" s="478"/>
      <c r="AA178" s="1290"/>
      <c r="AB178" s="1290"/>
      <c r="AC178" s="1290"/>
      <c r="AD178" s="1290"/>
      <c r="AE178" s="1290"/>
      <c r="AF178" s="1556"/>
      <c r="AG178" s="556"/>
      <c r="AH178" s="556"/>
      <c r="AI178" s="556"/>
      <c r="AJ178" s="556"/>
      <c r="AK178" s="1565">
        <v>11</v>
      </c>
    </row>
    <row r="179" spans="1:37" s="1565" customFormat="1" ht="11.45" customHeight="1">
      <c r="A179" s="914"/>
      <c r="B179" s="914"/>
      <c r="C179" s="914"/>
      <c r="D179" s="914"/>
      <c r="E179" s="914"/>
      <c r="F179" s="1560"/>
      <c r="G179" s="1560"/>
      <c r="H179" s="285"/>
      <c r="N179" s="1290"/>
      <c r="P179" s="1290"/>
      <c r="Q179" s="1560"/>
      <c r="R179" s="1560"/>
      <c r="S179" s="1290"/>
      <c r="T179" s="1290"/>
      <c r="U179" s="1290"/>
      <c r="V179" s="1290"/>
      <c r="W179" s="1560"/>
      <c r="X179" s="1290"/>
      <c r="Y179" s="1290"/>
      <c r="Z179" s="478"/>
      <c r="AA179" s="1290"/>
      <c r="AB179" s="1290"/>
      <c r="AC179" s="1290"/>
      <c r="AD179" s="1290"/>
      <c r="AE179" s="1290"/>
      <c r="AF179" s="1556"/>
      <c r="AG179" s="556"/>
      <c r="AH179" s="556"/>
      <c r="AI179" s="556"/>
      <c r="AJ179" s="556"/>
      <c r="AK179" s="1565">
        <v>11</v>
      </c>
    </row>
    <row r="180" spans="1:37" s="1565" customFormat="1" ht="11.45" customHeight="1">
      <c r="A180" s="914"/>
      <c r="B180" s="914"/>
      <c r="C180" s="914"/>
      <c r="D180" s="914"/>
      <c r="E180" s="914"/>
      <c r="F180" s="1560"/>
      <c r="G180" s="1560"/>
      <c r="H180" s="285"/>
      <c r="N180" s="1290"/>
      <c r="P180" s="1290"/>
      <c r="Q180" s="1560"/>
      <c r="R180" s="1560"/>
      <c r="S180" s="1290"/>
      <c r="T180" s="1290"/>
      <c r="U180" s="1290"/>
      <c r="V180" s="1290"/>
      <c r="W180" s="1560"/>
      <c r="X180" s="1290"/>
      <c r="Y180" s="1290"/>
      <c r="Z180" s="478"/>
      <c r="AA180" s="1290"/>
      <c r="AB180" s="1290"/>
      <c r="AC180" s="1290"/>
      <c r="AD180" s="1290"/>
      <c r="AE180" s="1290"/>
      <c r="AF180" s="1556"/>
      <c r="AG180" s="556"/>
      <c r="AH180" s="556"/>
      <c r="AI180" s="556"/>
      <c r="AJ180" s="556"/>
      <c r="AK180" s="1565">
        <v>11</v>
      </c>
    </row>
    <row r="181" spans="1:37" s="1565" customFormat="1" ht="11.45" customHeight="1">
      <c r="A181" s="914"/>
      <c r="B181" s="914"/>
      <c r="C181" s="914"/>
      <c r="D181" s="914"/>
      <c r="E181" s="914"/>
      <c r="F181" s="1560"/>
      <c r="G181" s="1560"/>
      <c r="H181" s="285"/>
      <c r="N181" s="1290"/>
      <c r="P181" s="1290"/>
      <c r="Q181" s="1560"/>
      <c r="R181" s="1560"/>
      <c r="S181" s="1290"/>
      <c r="T181" s="1290"/>
      <c r="U181" s="1290"/>
      <c r="V181" s="1290"/>
      <c r="W181" s="1560"/>
      <c r="X181" s="1290"/>
      <c r="Y181" s="1290"/>
      <c r="Z181" s="478"/>
      <c r="AA181" s="1290"/>
      <c r="AB181" s="1290"/>
      <c r="AC181" s="1290"/>
      <c r="AD181" s="1290"/>
      <c r="AE181" s="1290"/>
      <c r="AF181" s="1556"/>
      <c r="AG181" s="556"/>
      <c r="AH181" s="556"/>
      <c r="AI181" s="556"/>
      <c r="AJ181" s="556"/>
      <c r="AK181" s="1565">
        <v>11</v>
      </c>
    </row>
    <row r="182" spans="1:37" s="1565" customFormat="1" ht="11.45" customHeight="1">
      <c r="A182" s="914"/>
      <c r="B182" s="914"/>
      <c r="C182" s="914"/>
      <c r="D182" s="914"/>
      <c r="E182" s="914"/>
      <c r="F182" s="1560"/>
      <c r="G182" s="1560"/>
      <c r="H182" s="285"/>
      <c r="N182" s="1290"/>
      <c r="P182" s="1290"/>
      <c r="Q182" s="1560"/>
      <c r="R182" s="1560"/>
      <c r="S182" s="1290"/>
      <c r="T182" s="1290"/>
      <c r="U182" s="1290"/>
      <c r="V182" s="1290"/>
      <c r="W182" s="1560"/>
      <c r="X182" s="1290"/>
      <c r="Y182" s="1290"/>
      <c r="Z182" s="478"/>
      <c r="AA182" s="1290"/>
      <c r="AB182" s="1290"/>
      <c r="AC182" s="1290"/>
      <c r="AD182" s="1290"/>
      <c r="AE182" s="1290"/>
      <c r="AF182" s="1556"/>
      <c r="AG182" s="556"/>
      <c r="AH182" s="556"/>
      <c r="AI182" s="556"/>
      <c r="AJ182" s="556"/>
      <c r="AK182" s="1565">
        <v>11</v>
      </c>
    </row>
    <row r="183" spans="1:37" s="1565" customFormat="1" ht="11.45" customHeight="1">
      <c r="A183" s="914"/>
      <c r="B183" s="914"/>
      <c r="C183" s="914"/>
      <c r="D183" s="914"/>
      <c r="E183" s="914"/>
      <c r="F183" s="1560"/>
      <c r="G183" s="1560"/>
      <c r="H183" s="285"/>
      <c r="N183" s="1290"/>
      <c r="P183" s="1290"/>
      <c r="Q183" s="1560"/>
      <c r="R183" s="1560"/>
      <c r="S183" s="1290"/>
      <c r="T183" s="1290"/>
      <c r="U183" s="1290"/>
      <c r="V183" s="1290"/>
      <c r="W183" s="1560"/>
      <c r="X183" s="1290"/>
      <c r="Y183" s="1290"/>
      <c r="Z183" s="478"/>
      <c r="AA183" s="1290"/>
      <c r="AB183" s="1290"/>
      <c r="AC183" s="1290"/>
      <c r="AD183" s="1290"/>
      <c r="AE183" s="1290"/>
      <c r="AF183" s="1556"/>
      <c r="AG183" s="556"/>
      <c r="AH183" s="556"/>
      <c r="AI183" s="556"/>
      <c r="AJ183" s="556"/>
      <c r="AK183" s="1565">
        <v>11</v>
      </c>
    </row>
    <row r="184" spans="1:37" s="1565" customFormat="1" ht="11.45" customHeight="1">
      <c r="A184" s="914"/>
      <c r="B184" s="914"/>
      <c r="C184" s="914"/>
      <c r="D184" s="914"/>
      <c r="E184" s="914"/>
      <c r="F184" s="1560"/>
      <c r="G184" s="1560"/>
      <c r="H184" s="285"/>
      <c r="N184" s="1290"/>
      <c r="P184" s="1290"/>
      <c r="Q184" s="1560"/>
      <c r="R184" s="1560"/>
      <c r="S184" s="1290"/>
      <c r="T184" s="1290"/>
      <c r="U184" s="1290"/>
      <c r="V184" s="1290"/>
      <c r="W184" s="1560"/>
      <c r="X184" s="1290"/>
      <c r="Y184" s="1290"/>
      <c r="Z184" s="478"/>
      <c r="AA184" s="1290"/>
      <c r="AB184" s="1290"/>
      <c r="AC184" s="1290"/>
      <c r="AD184" s="1290"/>
      <c r="AE184" s="1290"/>
      <c r="AF184" s="1556"/>
      <c r="AG184" s="556"/>
      <c r="AH184" s="556"/>
      <c r="AI184" s="556"/>
      <c r="AJ184" s="556"/>
      <c r="AK184" s="1565">
        <v>11</v>
      </c>
    </row>
    <row r="185" spans="1:37" s="1565" customFormat="1" ht="11.45" customHeight="1">
      <c r="A185" s="914"/>
      <c r="B185" s="914"/>
      <c r="C185" s="914"/>
      <c r="D185" s="914"/>
      <c r="E185" s="914"/>
      <c r="F185" s="1560"/>
      <c r="G185" s="1560"/>
      <c r="H185" s="285"/>
      <c r="N185" s="1290"/>
      <c r="P185" s="1290"/>
      <c r="Q185" s="1560"/>
      <c r="R185" s="1560"/>
      <c r="S185" s="1290"/>
      <c r="T185" s="1290"/>
      <c r="U185" s="1290"/>
      <c r="V185" s="1290"/>
      <c r="W185" s="1560"/>
      <c r="X185" s="1290"/>
      <c r="Y185" s="1290"/>
      <c r="Z185" s="478"/>
      <c r="AA185" s="1290"/>
      <c r="AB185" s="1290"/>
      <c r="AC185" s="1290"/>
      <c r="AD185" s="1290"/>
      <c r="AE185" s="1290"/>
      <c r="AF185" s="1556"/>
      <c r="AG185" s="556"/>
      <c r="AH185" s="556"/>
      <c r="AI185" s="556"/>
      <c r="AJ185" s="556"/>
      <c r="AK185" s="1565">
        <v>11</v>
      </c>
    </row>
    <row r="186" spans="1:37" s="1565" customFormat="1" ht="11.45" customHeight="1">
      <c r="A186" s="914"/>
      <c r="B186" s="914"/>
      <c r="C186" s="914"/>
      <c r="D186" s="914"/>
      <c r="E186" s="914"/>
      <c r="F186" s="1560"/>
      <c r="G186" s="1560"/>
      <c r="H186" s="285"/>
      <c r="N186" s="1290"/>
      <c r="P186" s="1290"/>
      <c r="Q186" s="1560"/>
      <c r="R186" s="1560"/>
      <c r="S186" s="1290"/>
      <c r="T186" s="1290"/>
      <c r="U186" s="1290"/>
      <c r="V186" s="1290"/>
      <c r="W186" s="1560"/>
      <c r="X186" s="1290"/>
      <c r="Y186" s="1290"/>
      <c r="Z186" s="478"/>
      <c r="AA186" s="1290"/>
      <c r="AB186" s="1290"/>
      <c r="AC186" s="1290"/>
      <c r="AD186" s="1290"/>
      <c r="AE186" s="1290"/>
      <c r="AF186" s="1556"/>
      <c r="AG186" s="556"/>
      <c r="AH186" s="556"/>
      <c r="AI186" s="556"/>
      <c r="AJ186" s="556"/>
      <c r="AK186" s="1565">
        <v>11</v>
      </c>
    </row>
    <row r="187" spans="1:37" s="1565" customFormat="1" ht="11.45" customHeight="1">
      <c r="A187" s="914"/>
      <c r="B187" s="914"/>
      <c r="C187" s="914"/>
      <c r="D187" s="914"/>
      <c r="E187" s="914"/>
      <c r="F187" s="1560"/>
      <c r="G187" s="1560"/>
      <c r="H187" s="285"/>
      <c r="N187" s="1290"/>
      <c r="P187" s="1290"/>
      <c r="Q187" s="1560"/>
      <c r="R187" s="1560"/>
      <c r="S187" s="1290"/>
      <c r="T187" s="1290"/>
      <c r="U187" s="1290"/>
      <c r="V187" s="1290"/>
      <c r="W187" s="1560"/>
      <c r="X187" s="1290"/>
      <c r="Y187" s="1290"/>
      <c r="Z187" s="478"/>
      <c r="AA187" s="1290"/>
      <c r="AB187" s="1290"/>
      <c r="AC187" s="1290"/>
      <c r="AD187" s="1290"/>
      <c r="AE187" s="1290"/>
      <c r="AF187" s="1556"/>
      <c r="AG187" s="556"/>
      <c r="AH187" s="556"/>
      <c r="AI187" s="556"/>
      <c r="AJ187" s="556"/>
      <c r="AK187" s="1565">
        <v>11</v>
      </c>
    </row>
    <row r="188" spans="1:37" s="1565" customFormat="1" ht="11.45" customHeight="1">
      <c r="A188" s="914"/>
      <c r="B188" s="914"/>
      <c r="C188" s="914"/>
      <c r="D188" s="914"/>
      <c r="E188" s="914"/>
      <c r="F188" s="1560"/>
      <c r="G188" s="1560"/>
      <c r="H188" s="285"/>
      <c r="N188" s="1290"/>
      <c r="P188" s="1290"/>
      <c r="Q188" s="1560"/>
      <c r="R188" s="1560"/>
      <c r="S188" s="1290"/>
      <c r="T188" s="1290"/>
      <c r="U188" s="1290"/>
      <c r="V188" s="1290"/>
      <c r="W188" s="1560"/>
      <c r="X188" s="1290"/>
      <c r="Y188" s="1290"/>
      <c r="Z188" s="478"/>
      <c r="AA188" s="1290"/>
      <c r="AB188" s="1290"/>
      <c r="AC188" s="1290"/>
      <c r="AD188" s="1290"/>
      <c r="AE188" s="1290"/>
      <c r="AF188" s="1556"/>
      <c r="AG188" s="556"/>
      <c r="AH188" s="556"/>
      <c r="AI188" s="556"/>
      <c r="AJ188" s="556"/>
      <c r="AK188" s="1565">
        <v>11</v>
      </c>
    </row>
    <row r="189" spans="1:37" s="1565" customFormat="1" ht="11.45" customHeight="1">
      <c r="A189" s="914"/>
      <c r="B189" s="914"/>
      <c r="C189" s="914"/>
      <c r="D189" s="914"/>
      <c r="E189" s="914"/>
      <c r="F189" s="1560"/>
      <c r="G189" s="1560"/>
      <c r="H189" s="285"/>
      <c r="N189" s="1290"/>
      <c r="P189" s="1290"/>
      <c r="Q189" s="1560"/>
      <c r="R189" s="1560"/>
      <c r="S189" s="1290"/>
      <c r="T189" s="1290"/>
      <c r="U189" s="1290"/>
      <c r="V189" s="1290"/>
      <c r="W189" s="1560"/>
      <c r="X189" s="1290"/>
      <c r="Y189" s="1290"/>
      <c r="Z189" s="478"/>
      <c r="AA189" s="1290"/>
      <c r="AB189" s="1290"/>
      <c r="AC189" s="1290"/>
      <c r="AD189" s="1290"/>
      <c r="AE189" s="1290"/>
      <c r="AF189" s="1556"/>
      <c r="AG189" s="556"/>
      <c r="AH189" s="556"/>
      <c r="AI189" s="556"/>
      <c r="AJ189" s="556"/>
      <c r="AK189" s="1565">
        <v>11</v>
      </c>
    </row>
    <row r="190" spans="1:37" ht="11.45" customHeight="1">
      <c r="AK190" s="1555">
        <v>11</v>
      </c>
    </row>
    <row r="191" spans="1:37" ht="11.45" customHeight="1">
      <c r="AK191" s="1555">
        <v>11</v>
      </c>
    </row>
    <row r="192" spans="1:37" ht="11.45" customHeight="1">
      <c r="AK192" s="1555">
        <v>11</v>
      </c>
    </row>
    <row r="193" spans="1:37" ht="11.45" customHeight="1">
      <c r="A193" s="917"/>
      <c r="B193" s="917"/>
      <c r="C193" s="917"/>
      <c r="D193" s="917"/>
      <c r="E193" s="917"/>
      <c r="F193" s="1555"/>
      <c r="H193" s="1555"/>
      <c r="N193" s="1555"/>
      <c r="P193" s="1555"/>
      <c r="S193" s="1555"/>
      <c r="T193" s="1555"/>
      <c r="U193" s="1555"/>
      <c r="V193" s="1555"/>
      <c r="X193" s="1555"/>
      <c r="Y193" s="1555"/>
      <c r="Z193" s="1555"/>
      <c r="AA193" s="1555"/>
      <c r="AB193" s="1555"/>
      <c r="AC193" s="1555"/>
      <c r="AD193" s="1555"/>
      <c r="AE193" s="1555"/>
      <c r="AF193" s="1555"/>
      <c r="AG193" s="1555"/>
      <c r="AH193" s="1555"/>
      <c r="AI193" s="1555"/>
      <c r="AJ193" s="1555"/>
      <c r="AK193" s="1555">
        <v>11</v>
      </c>
    </row>
    <row r="194" spans="1:37" ht="11.45" customHeight="1">
      <c r="A194" s="917"/>
      <c r="B194" s="917"/>
      <c r="C194" s="917"/>
      <c r="D194" s="917"/>
      <c r="E194" s="917"/>
      <c r="F194" s="1555"/>
      <c r="H194" s="1555"/>
      <c r="N194" s="1555"/>
      <c r="P194" s="1555"/>
      <c r="S194" s="1555"/>
      <c r="T194" s="1555"/>
      <c r="U194" s="1555"/>
      <c r="V194" s="1555"/>
      <c r="X194" s="1555"/>
      <c r="Y194" s="1555"/>
      <c r="Z194" s="1555"/>
      <c r="AA194" s="1555"/>
      <c r="AB194" s="1555"/>
      <c r="AC194" s="1555"/>
      <c r="AD194" s="1555"/>
      <c r="AE194" s="1555"/>
      <c r="AF194" s="1555"/>
      <c r="AG194" s="1555"/>
      <c r="AH194" s="1555"/>
      <c r="AI194" s="1555"/>
      <c r="AJ194" s="1555"/>
      <c r="AK194" s="1555">
        <v>11</v>
      </c>
    </row>
    <row r="195" spans="1:37" ht="11.45" customHeight="1">
      <c r="A195" s="917"/>
      <c r="B195" s="917"/>
      <c r="C195" s="917"/>
      <c r="D195" s="917"/>
      <c r="E195" s="917"/>
      <c r="F195" s="1555"/>
      <c r="H195" s="1555"/>
      <c r="N195" s="1555"/>
      <c r="P195" s="1555"/>
      <c r="S195" s="1555"/>
      <c r="T195" s="1555"/>
      <c r="U195" s="1555"/>
      <c r="V195" s="1555"/>
      <c r="X195" s="1555"/>
      <c r="Y195" s="1555"/>
      <c r="Z195" s="1555"/>
      <c r="AA195" s="1555"/>
      <c r="AB195" s="1555"/>
      <c r="AC195" s="1555"/>
      <c r="AD195" s="1555"/>
      <c r="AE195" s="1555"/>
      <c r="AF195" s="1555"/>
      <c r="AG195" s="1555"/>
      <c r="AH195" s="1555"/>
      <c r="AI195" s="1555"/>
      <c r="AJ195" s="1555"/>
      <c r="AK195" s="1555">
        <v>11</v>
      </c>
    </row>
    <row r="196" spans="1:37" ht="11.45" customHeight="1">
      <c r="A196" s="917"/>
      <c r="B196" s="917"/>
      <c r="C196" s="917"/>
      <c r="D196" s="917"/>
      <c r="E196" s="917"/>
      <c r="F196" s="1555"/>
      <c r="H196" s="1555"/>
      <c r="N196" s="1555"/>
      <c r="P196" s="1555"/>
      <c r="S196" s="1555"/>
      <c r="T196" s="1555"/>
      <c r="U196" s="1555"/>
      <c r="V196" s="1555"/>
      <c r="X196" s="1555"/>
      <c r="Y196" s="1555"/>
      <c r="Z196" s="1555"/>
      <c r="AA196" s="1555"/>
      <c r="AB196" s="1555"/>
      <c r="AC196" s="1555"/>
      <c r="AD196" s="1555"/>
      <c r="AE196" s="1555"/>
      <c r="AF196" s="1555"/>
      <c r="AG196" s="1555"/>
      <c r="AH196" s="1555"/>
      <c r="AI196" s="1555"/>
      <c r="AJ196" s="1555"/>
      <c r="AK196" s="1555">
        <v>11</v>
      </c>
    </row>
    <row r="197" spans="1:37" ht="11.45" customHeight="1">
      <c r="A197" s="917"/>
      <c r="B197" s="917"/>
      <c r="C197" s="917"/>
      <c r="D197" s="917"/>
      <c r="E197" s="917"/>
      <c r="F197" s="1555"/>
      <c r="H197" s="1555"/>
      <c r="N197" s="1555"/>
      <c r="P197" s="1555"/>
      <c r="S197" s="1555"/>
      <c r="T197" s="1555"/>
      <c r="U197" s="1555"/>
      <c r="V197" s="1555"/>
      <c r="X197" s="1555"/>
      <c r="Y197" s="1555"/>
      <c r="Z197" s="1555"/>
      <c r="AA197" s="1555"/>
      <c r="AB197" s="1555"/>
      <c r="AC197" s="1555"/>
      <c r="AD197" s="1555"/>
      <c r="AE197" s="1555"/>
      <c r="AF197" s="1555"/>
      <c r="AG197" s="1555"/>
      <c r="AH197" s="1555"/>
      <c r="AI197" s="1555"/>
      <c r="AJ197" s="1555"/>
      <c r="AK197" s="1555">
        <v>11</v>
      </c>
    </row>
    <row r="198" spans="1:37" ht="11.45" customHeight="1">
      <c r="A198" s="917"/>
      <c r="B198" s="917"/>
      <c r="C198" s="917"/>
      <c r="D198" s="917"/>
      <c r="E198" s="917"/>
      <c r="F198" s="1555"/>
      <c r="H198" s="1555"/>
      <c r="N198" s="1555"/>
      <c r="P198" s="1555"/>
      <c r="S198" s="1555"/>
      <c r="T198" s="1555"/>
      <c r="U198" s="1555"/>
      <c r="V198" s="1555"/>
      <c r="X198" s="1555"/>
      <c r="Y198" s="1555"/>
      <c r="Z198" s="1555"/>
      <c r="AA198" s="1555"/>
      <c r="AB198" s="1555"/>
      <c r="AC198" s="1555"/>
      <c r="AD198" s="1555"/>
      <c r="AE198" s="1555"/>
      <c r="AF198" s="1555"/>
      <c r="AG198" s="1555"/>
      <c r="AH198" s="1555"/>
      <c r="AI198" s="1555"/>
      <c r="AJ198" s="1555"/>
      <c r="AK198" s="1555">
        <v>11</v>
      </c>
    </row>
    <row r="199" spans="1:37" ht="11.45" customHeight="1">
      <c r="A199" s="917"/>
      <c r="B199" s="917"/>
      <c r="C199" s="917"/>
      <c r="D199" s="917"/>
      <c r="E199" s="917"/>
      <c r="F199" s="1555"/>
      <c r="H199" s="1555"/>
      <c r="N199" s="1555"/>
      <c r="P199" s="1555"/>
      <c r="S199" s="1555"/>
      <c r="T199" s="1555"/>
      <c r="U199" s="1555"/>
      <c r="V199" s="1555"/>
      <c r="X199" s="1555"/>
      <c r="Y199" s="1555"/>
      <c r="Z199" s="1555"/>
      <c r="AA199" s="1555"/>
      <c r="AB199" s="1555"/>
      <c r="AC199" s="1555"/>
      <c r="AD199" s="1555"/>
      <c r="AE199" s="1555"/>
      <c r="AF199" s="1555"/>
      <c r="AG199" s="1555"/>
      <c r="AH199" s="1555"/>
      <c r="AI199" s="1555"/>
      <c r="AJ199" s="1555"/>
      <c r="AK199" s="1555">
        <v>11</v>
      </c>
    </row>
    <row r="200" spans="1:37" ht="11.45" customHeight="1">
      <c r="A200" s="917"/>
      <c r="B200" s="917"/>
      <c r="C200" s="917"/>
      <c r="D200" s="917"/>
      <c r="E200" s="917"/>
      <c r="F200" s="1555"/>
      <c r="H200" s="1555"/>
      <c r="N200" s="1555"/>
      <c r="P200" s="1555"/>
      <c r="S200" s="1555"/>
      <c r="T200" s="1555"/>
      <c r="U200" s="1555"/>
      <c r="V200" s="1555"/>
      <c r="X200" s="1555"/>
      <c r="Y200" s="1555"/>
      <c r="Z200" s="1555"/>
      <c r="AA200" s="1555"/>
      <c r="AB200" s="1555"/>
      <c r="AC200" s="1555"/>
      <c r="AD200" s="1555"/>
      <c r="AE200" s="1555"/>
      <c r="AF200" s="1555"/>
      <c r="AG200" s="1555"/>
      <c r="AH200" s="1555"/>
      <c r="AI200" s="1555"/>
      <c r="AJ200" s="1555"/>
      <c r="AK200" s="1555">
        <v>11</v>
      </c>
    </row>
    <row r="201" spans="1:37" ht="11.45" customHeight="1">
      <c r="A201" s="917"/>
      <c r="B201" s="917"/>
      <c r="C201" s="917"/>
      <c r="D201" s="917"/>
      <c r="E201" s="917"/>
      <c r="F201" s="1555"/>
      <c r="H201" s="1555"/>
      <c r="N201" s="1555"/>
      <c r="P201" s="1555"/>
      <c r="S201" s="1555"/>
      <c r="T201" s="1555"/>
      <c r="U201" s="1555"/>
      <c r="V201" s="1555"/>
      <c r="X201" s="1555"/>
      <c r="Y201" s="1555"/>
      <c r="Z201" s="1555"/>
      <c r="AA201" s="1555"/>
      <c r="AB201" s="1555"/>
      <c r="AC201" s="1555"/>
      <c r="AD201" s="1555"/>
      <c r="AE201" s="1555"/>
      <c r="AF201" s="1555"/>
      <c r="AG201" s="1555"/>
      <c r="AH201" s="1555"/>
      <c r="AI201" s="1555"/>
      <c r="AJ201" s="1555"/>
      <c r="AK201" s="1555">
        <v>11</v>
      </c>
    </row>
    <row r="202" spans="1:37" ht="11.45" customHeight="1">
      <c r="A202" s="917"/>
      <c r="B202" s="917"/>
      <c r="C202" s="917"/>
      <c r="D202" s="917"/>
      <c r="E202" s="917"/>
      <c r="F202" s="1555"/>
      <c r="H202" s="1555"/>
      <c r="N202" s="1555"/>
      <c r="P202" s="1555"/>
      <c r="S202" s="1555"/>
      <c r="T202" s="1555"/>
      <c r="U202" s="1555"/>
      <c r="V202" s="1555"/>
      <c r="X202" s="1555"/>
      <c r="Y202" s="1555"/>
      <c r="Z202" s="1555"/>
      <c r="AA202" s="1555"/>
      <c r="AB202" s="1555"/>
      <c r="AC202" s="1555"/>
      <c r="AD202" s="1555"/>
      <c r="AE202" s="1555"/>
      <c r="AF202" s="1555"/>
      <c r="AG202" s="1555"/>
      <c r="AH202" s="1555"/>
      <c r="AI202" s="1555"/>
      <c r="AJ202" s="1555"/>
      <c r="AK202" s="1555">
        <v>11</v>
      </c>
    </row>
    <row r="203" spans="1:37" ht="11.45" customHeight="1">
      <c r="A203" s="917"/>
      <c r="B203" s="917"/>
      <c r="C203" s="917"/>
      <c r="D203" s="917"/>
      <c r="E203" s="917"/>
      <c r="F203" s="1555"/>
      <c r="H203" s="1555"/>
      <c r="N203" s="1555"/>
      <c r="P203" s="1555"/>
      <c r="S203" s="1555"/>
      <c r="T203" s="1555"/>
      <c r="U203" s="1555"/>
      <c r="V203" s="1555"/>
      <c r="X203" s="1555"/>
      <c r="Y203" s="1555"/>
      <c r="Z203" s="1555"/>
      <c r="AA203" s="1555"/>
      <c r="AB203" s="1555"/>
      <c r="AC203" s="1555"/>
      <c r="AD203" s="1555"/>
      <c r="AE203" s="1555"/>
      <c r="AF203" s="1555"/>
      <c r="AG203" s="1555"/>
      <c r="AH203" s="1555"/>
      <c r="AI203" s="1555"/>
      <c r="AJ203" s="1555"/>
      <c r="AK203" s="1555">
        <v>11</v>
      </c>
    </row>
    <row r="204" spans="1:37" ht="12.75" hidden="1" customHeight="1">
      <c r="A204" s="914" t="s">
        <v>69</v>
      </c>
      <c r="B204" s="914" t="s">
        <v>141</v>
      </c>
      <c r="C204" s="914" t="s">
        <v>141</v>
      </c>
      <c r="D204" s="914" t="s">
        <v>141</v>
      </c>
      <c r="E204" s="914" t="s">
        <v>141</v>
      </c>
      <c r="F204" s="1559">
        <v>16</v>
      </c>
      <c r="G204" s="1560">
        <v>0</v>
      </c>
      <c r="H204" s="1559">
        <v>3</v>
      </c>
      <c r="I204" s="1555">
        <v>7</v>
      </c>
      <c r="J204" s="1555">
        <v>56</v>
      </c>
      <c r="K204" s="1555">
        <v>10</v>
      </c>
      <c r="L204" s="1555">
        <v>40</v>
      </c>
      <c r="M204" s="1555">
        <v>40</v>
      </c>
      <c r="N204" s="1290">
        <v>9</v>
      </c>
      <c r="O204" s="1555">
        <v>102</v>
      </c>
      <c r="P204" s="1290">
        <v>9</v>
      </c>
      <c r="Q204" s="1560">
        <v>5</v>
      </c>
      <c r="R204" s="1560">
        <v>3</v>
      </c>
      <c r="S204" s="1290">
        <v>3</v>
      </c>
      <c r="T204" s="1290">
        <v>3</v>
      </c>
      <c r="U204" s="1290">
        <v>3</v>
      </c>
      <c r="V204" s="1290">
        <v>3</v>
      </c>
      <c r="W204" s="1560">
        <v>10</v>
      </c>
      <c r="X204" s="1290">
        <v>34</v>
      </c>
      <c r="Y204" s="1290">
        <v>9</v>
      </c>
      <c r="Z204" s="478">
        <v>8</v>
      </c>
      <c r="AA204" s="1290">
        <v>8</v>
      </c>
      <c r="AB204" s="1290">
        <v>8</v>
      </c>
      <c r="AC204" s="1290">
        <v>8</v>
      </c>
      <c r="AD204" s="1290">
        <v>8</v>
      </c>
      <c r="AE204" s="1290">
        <v>8</v>
      </c>
      <c r="AF204" s="1556">
        <v>8</v>
      </c>
      <c r="AG204" s="1556">
        <v>8</v>
      </c>
      <c r="AH204" s="1556">
        <v>8</v>
      </c>
      <c r="AI204" s="1556">
        <v>8</v>
      </c>
      <c r="AJ204" s="1556">
        <v>8</v>
      </c>
      <c r="AK204" s="1555">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9" hidden="1"/>
    <col min="5" max="5" width="9.140625" style="1975" hidden="1" customWidth="1"/>
    <col min="6" max="7" width="9.140625" style="1290" hidden="1" customWidth="1"/>
    <col min="8" max="8" width="3" style="279" customWidth="1"/>
    <col min="9" max="9" width="6" style="1559" customWidth="1"/>
    <col min="10" max="10" width="63" style="1559" customWidth="1"/>
    <col min="11" max="11" width="9" style="1559" customWidth="1"/>
    <col min="12" max="12" width="39" style="1559" customWidth="1"/>
    <col min="13" max="13" width="89" style="1559" customWidth="1"/>
    <col min="14" max="14" width="10" style="1559" customWidth="1"/>
    <col min="15" max="16" width="10" style="1548" customWidth="1"/>
    <col min="17" max="22" width="10" style="1559" customWidth="1"/>
    <col min="23" max="23" width="10.5703125" style="1559" hidden="1"/>
  </cols>
  <sheetData>
    <row r="1" spans="1:23" ht="22.5" hidden="1" customHeight="1">
      <c r="S1" s="190"/>
      <c r="T1" s="190"/>
      <c r="V1" s="190"/>
      <c r="W1" s="1555" t="s">
        <v>1</v>
      </c>
    </row>
    <row r="2" spans="1:23" ht="22.5" hidden="1" customHeight="1">
      <c r="B2" s="1945" t="s">
        <v>896</v>
      </c>
      <c r="C2" s="1945" t="s">
        <v>897</v>
      </c>
      <c r="D2" s="1944" t="s">
        <v>836</v>
      </c>
      <c r="E2" s="1950">
        <f>I2-3</f>
        <v>-3</v>
      </c>
      <c r="F2" s="1950">
        <f>J2</f>
        <v>0</v>
      </c>
      <c r="H2" s="1626" t="s">
        <v>90</v>
      </c>
      <c r="I2" s="1916"/>
      <c r="J2" s="1606"/>
      <c r="K2" s="1910" t="s">
        <v>514</v>
      </c>
      <c r="L2" s="1088"/>
      <c r="M2" s="232"/>
      <c r="N2" s="1548"/>
      <c r="P2" s="1555"/>
      <c r="W2" s="1555">
        <v>0</v>
      </c>
    </row>
    <row r="3" spans="1:23" ht="14.25" hidden="1" customHeight="1">
      <c r="W3" s="1555">
        <v>0</v>
      </c>
    </row>
    <row r="4" spans="1:23" ht="6.4" customHeight="1">
      <c r="H4" s="310"/>
      <c r="I4" s="391"/>
      <c r="J4" s="391"/>
      <c r="K4" s="391"/>
      <c r="L4" s="24"/>
      <c r="M4" s="24"/>
      <c r="W4" s="1555">
        <v>6</v>
      </c>
    </row>
    <row r="5" spans="1:23" ht="50.25" customHeight="1">
      <c r="H5" s="310"/>
      <c r="I5" s="4014" t="s">
        <v>898</v>
      </c>
      <c r="J5" s="4014"/>
      <c r="K5" s="4014"/>
      <c r="L5" s="4014"/>
      <c r="M5" s="201"/>
      <c r="W5" s="1555">
        <v>48</v>
      </c>
    </row>
    <row r="6" spans="1:23" ht="18" customHeight="1">
      <c r="H6" s="310"/>
      <c r="I6" s="3987" t="str">
        <f>IF(org=0,"Не определено",org)</f>
        <v>ООО "Смоленскрегионтеплоэнерго"</v>
      </c>
      <c r="J6" s="3987"/>
      <c r="K6" s="3987"/>
      <c r="L6" s="3987"/>
      <c r="M6" s="201"/>
      <c r="W6" s="1555">
        <v>17</v>
      </c>
    </row>
    <row r="7" spans="1:23" ht="14.65" customHeight="1">
      <c r="H7" s="310"/>
      <c r="I7" s="391"/>
      <c r="J7" s="397"/>
      <c r="K7" s="397"/>
      <c r="L7" s="686"/>
      <c r="M7" s="128"/>
      <c r="W7" s="1555">
        <v>14</v>
      </c>
    </row>
    <row r="8" spans="1:23" ht="14.65" customHeight="1">
      <c r="H8" s="310"/>
      <c r="I8" s="4134" t="s">
        <v>508</v>
      </c>
      <c r="J8" s="4135"/>
      <c r="K8" s="4135"/>
      <c r="L8" s="4136"/>
      <c r="M8" s="4137" t="s">
        <v>509</v>
      </c>
      <c r="W8" s="1555">
        <v>14</v>
      </c>
    </row>
    <row r="9" spans="1:23" ht="35.65" customHeight="1">
      <c r="E9" s="1943" t="s">
        <v>827</v>
      </c>
      <c r="F9" s="1943" t="s">
        <v>833</v>
      </c>
      <c r="H9" s="310"/>
      <c r="I9" s="1917" t="s">
        <v>75</v>
      </c>
      <c r="J9" s="1918" t="s">
        <v>510</v>
      </c>
      <c r="K9" s="1956" t="s">
        <v>775</v>
      </c>
      <c r="L9" s="1957" t="s">
        <v>511</v>
      </c>
      <c r="M9" s="4137"/>
      <c r="W9" s="1555">
        <v>34</v>
      </c>
    </row>
    <row r="10" spans="1:23" ht="35.65" customHeight="1">
      <c r="B10" s="1945" t="s">
        <v>899</v>
      </c>
      <c r="C10" s="1945" t="s">
        <v>900</v>
      </c>
      <c r="D10" s="1944" t="s">
        <v>836</v>
      </c>
      <c r="E10" s="1948" t="s">
        <v>837</v>
      </c>
      <c r="F10" s="1948" t="s">
        <v>837</v>
      </c>
      <c r="H10" s="310"/>
      <c r="I10" s="1916" t="s">
        <v>184</v>
      </c>
      <c r="J10" s="1781" t="s">
        <v>901</v>
      </c>
      <c r="K10" s="1910" t="s">
        <v>514</v>
      </c>
      <c r="L10" s="746"/>
      <c r="M10" s="232" t="s">
        <v>902</v>
      </c>
      <c r="W10" s="1555">
        <v>34</v>
      </c>
    </row>
    <row r="11" spans="1:23" ht="50.25" customHeight="1">
      <c r="B11" s="1945" t="s">
        <v>903</v>
      </c>
      <c r="C11" s="1945" t="s">
        <v>904</v>
      </c>
      <c r="D11" s="1944" t="s">
        <v>836</v>
      </c>
      <c r="E11" s="1948" t="s">
        <v>837</v>
      </c>
      <c r="F11" s="1948" t="s">
        <v>837</v>
      </c>
      <c r="H11" s="310"/>
      <c r="I11" s="1916" t="s">
        <v>89</v>
      </c>
      <c r="J11" s="1781" t="s">
        <v>905</v>
      </c>
      <c r="K11" s="1910" t="s">
        <v>514</v>
      </c>
      <c r="L11" s="746"/>
      <c r="M11" s="232" t="s">
        <v>902</v>
      </c>
      <c r="W11" s="1555">
        <v>48</v>
      </c>
    </row>
    <row r="12" spans="1:23" ht="48.2" customHeight="1">
      <c r="B12" s="1945" t="s">
        <v>906</v>
      </c>
      <c r="C12" s="1945" t="s">
        <v>907</v>
      </c>
      <c r="D12" s="1944" t="s">
        <v>836</v>
      </c>
      <c r="E12" s="1948" t="s">
        <v>837</v>
      </c>
      <c r="F12" s="1948" t="s">
        <v>837</v>
      </c>
      <c r="H12" s="1612"/>
      <c r="I12" s="1916" t="s">
        <v>77</v>
      </c>
      <c r="J12" s="1923" t="s">
        <v>908</v>
      </c>
      <c r="K12" s="1910" t="s">
        <v>514</v>
      </c>
      <c r="L12" s="746"/>
      <c r="M12" s="232" t="s">
        <v>909</v>
      </c>
      <c r="N12" s="1548"/>
      <c r="P12" s="1555"/>
      <c r="W12" s="1555">
        <v>46</v>
      </c>
    </row>
    <row r="13" spans="1:23" ht="14.65" customHeight="1">
      <c r="E13" s="278"/>
      <c r="H13" s="310"/>
      <c r="I13" s="282"/>
      <c r="J13" s="585" t="s">
        <v>910</v>
      </c>
      <c r="K13" s="505"/>
      <c r="L13" s="149"/>
      <c r="M13" s="232"/>
      <c r="W13" s="1555">
        <v>14</v>
      </c>
    </row>
    <row r="14" spans="1:23" ht="14.65" customHeight="1">
      <c r="E14" s="278"/>
      <c r="H14" s="310"/>
      <c r="I14" s="984"/>
      <c r="J14" s="1601"/>
      <c r="K14" s="1602"/>
      <c r="L14" s="1603"/>
      <c r="M14" s="1920"/>
      <c r="W14" s="1555">
        <v>14</v>
      </c>
    </row>
    <row r="15" spans="1:23" ht="14.65" customHeight="1">
      <c r="I15" s="1605"/>
      <c r="J15" s="4032"/>
      <c r="K15" s="4032"/>
      <c r="L15" s="4032"/>
      <c r="M15" s="4032"/>
      <c r="W15" s="1555">
        <v>14</v>
      </c>
    </row>
    <row r="16" spans="1:23" ht="21" hidden="1" customHeight="1">
      <c r="A16" s="1922" t="s">
        <v>69</v>
      </c>
      <c r="B16" s="1555">
        <v>9</v>
      </c>
      <c r="C16" s="1555">
        <v>9</v>
      </c>
      <c r="D16" s="1555">
        <v>9</v>
      </c>
      <c r="E16" s="1922" t="s">
        <v>136</v>
      </c>
      <c r="F16" s="1947" t="s">
        <v>136</v>
      </c>
      <c r="G16" s="1949"/>
      <c r="H16" s="279">
        <v>3</v>
      </c>
      <c r="I16" s="1555">
        <v>6</v>
      </c>
      <c r="J16" s="1555">
        <v>63</v>
      </c>
      <c r="K16" s="1555">
        <v>9</v>
      </c>
      <c r="L16" s="1555">
        <v>39</v>
      </c>
      <c r="M16" s="1555">
        <v>89</v>
      </c>
      <c r="N16" s="1555">
        <v>10</v>
      </c>
      <c r="O16" s="1548">
        <v>10</v>
      </c>
      <c r="P16" s="1548">
        <v>10</v>
      </c>
      <c r="Q16" s="1555">
        <v>10</v>
      </c>
      <c r="R16" s="1555">
        <v>10</v>
      </c>
      <c r="S16" s="1555">
        <v>10</v>
      </c>
      <c r="T16" s="1555">
        <v>10</v>
      </c>
      <c r="U16" s="1555">
        <v>10</v>
      </c>
      <c r="V16" s="1555">
        <v>10</v>
      </c>
      <c r="W16" s="155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4" hidden="1" customWidth="1"/>
    <col min="2" max="2" width="16.85546875" style="1290" hidden="1" customWidth="1"/>
    <col min="3" max="3" width="5.5703125" style="1566" hidden="1" customWidth="1"/>
    <col min="4" max="4" width="3" style="1559" customWidth="1"/>
    <col min="5" max="5" width="7" style="1559" customWidth="1"/>
    <col min="6" max="6" width="56"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0" customWidth="1"/>
    <col min="22" max="26" width="8" style="1290" customWidth="1"/>
    <col min="27" max="31" width="8" style="1556" customWidth="1"/>
    <col min="32" max="32" width="10.42578125" style="1559" hidden="1" customWidth="1"/>
  </cols>
  <sheetData>
    <row r="1" spans="1:32" s="1290" customFormat="1" ht="22.5" hidden="1" customHeight="1">
      <c r="A1" s="914"/>
      <c r="C1" s="1560"/>
      <c r="D1" s="471"/>
      <c r="H1" s="1084">
        <v>4</v>
      </c>
      <c r="I1" s="1084">
        <v>4</v>
      </c>
      <c r="L1" s="1560"/>
      <c r="M1" s="1560"/>
      <c r="R1" s="1560"/>
      <c r="AF1" s="1084" t="s">
        <v>1</v>
      </c>
    </row>
    <row r="2" spans="1:32" s="1290" customFormat="1" ht="22.5" hidden="1" customHeight="1">
      <c r="A2" s="914"/>
      <c r="C2" s="1560"/>
      <c r="D2" s="472"/>
      <c r="E2" s="1561"/>
      <c r="F2" s="474"/>
      <c r="G2" s="1563" t="s">
        <v>761</v>
      </c>
      <c r="H2" s="475"/>
      <c r="I2" s="475"/>
      <c r="J2" s="476" t="s">
        <v>911</v>
      </c>
      <c r="K2" s="477"/>
      <c r="L2" s="1560"/>
      <c r="M2" s="1560"/>
      <c r="R2" s="1560"/>
      <c r="U2" s="478"/>
      <c r="AA2" s="1556"/>
      <c r="AB2" s="1556"/>
      <c r="AC2" s="1556"/>
      <c r="AD2" s="1556"/>
      <c r="AE2" s="1556"/>
      <c r="AF2" s="1084">
        <v>0</v>
      </c>
    </row>
    <row r="3" spans="1:32" ht="11.25" hidden="1" customHeight="1">
      <c r="AF3" s="1555">
        <v>0</v>
      </c>
    </row>
    <row r="4" spans="1:32" s="1556" customFormat="1" ht="11.25" hidden="1" customHeight="1">
      <c r="A4" s="914"/>
      <c r="B4" s="1084"/>
      <c r="C4" s="1560"/>
      <c r="D4" s="296"/>
      <c r="J4" s="1556">
        <v>4</v>
      </c>
      <c r="K4" s="1084"/>
      <c r="L4" s="1560"/>
      <c r="M4" s="1560"/>
      <c r="N4" s="1084"/>
      <c r="O4" s="1084"/>
      <c r="P4" s="1084"/>
      <c r="Q4" s="1084"/>
      <c r="R4" s="1560"/>
      <c r="S4" s="1084"/>
      <c r="T4" s="1084"/>
      <c r="U4" s="478"/>
      <c r="V4" s="1084"/>
      <c r="W4" s="1084"/>
      <c r="X4" s="1084"/>
      <c r="Y4" s="1084"/>
      <c r="Z4" s="1084"/>
      <c r="AF4" s="1556">
        <v>0</v>
      </c>
    </row>
    <row r="5" spans="1:32" ht="11.45" customHeight="1">
      <c r="AF5" s="1555">
        <v>11</v>
      </c>
    </row>
    <row r="6" spans="1:32" ht="31.5" customHeight="1">
      <c r="E6" s="3966" t="s">
        <v>912</v>
      </c>
      <c r="F6" s="3966"/>
      <c r="G6" s="3966"/>
      <c r="H6" s="3966"/>
      <c r="I6" s="3966"/>
      <c r="J6" s="490"/>
      <c r="AF6" s="1555">
        <v>30</v>
      </c>
    </row>
    <row r="7" spans="1:32" ht="11.45" customHeight="1">
      <c r="E7" s="3987" t="str">
        <f>IF(org=0,"Не определено",org)</f>
        <v>ООО "Смоленскрегионтеплоэнерго"</v>
      </c>
      <c r="F7" s="3987"/>
      <c r="G7" s="3987"/>
      <c r="H7" s="3987"/>
      <c r="I7" s="3987"/>
      <c r="AF7" s="1555">
        <v>11</v>
      </c>
    </row>
    <row r="8" spans="1:32" ht="11.45" customHeight="1">
      <c r="E8" s="1059"/>
      <c r="F8" s="1059"/>
      <c r="G8" s="1059"/>
      <c r="H8" s="1059"/>
      <c r="I8" s="1059"/>
      <c r="AF8" s="1555">
        <v>11</v>
      </c>
    </row>
    <row r="9" spans="1:32" s="1566" customFormat="1" ht="4.1500000000000004" customHeight="1">
      <c r="A9" s="1091"/>
      <c r="H9" s="816"/>
      <c r="I9" s="816" t="s">
        <v>189</v>
      </c>
      <c r="AF9" s="1560">
        <v>4</v>
      </c>
    </row>
    <row r="10" spans="1:32" ht="11.45" customHeight="1">
      <c r="E10" s="645"/>
      <c r="F10" s="4120" t="s">
        <v>180</v>
      </c>
      <c r="G10" s="4121"/>
      <c r="H10" s="1476" t="str">
        <f>IF(H9="","",INDEX(DIFFERENTIATION_UNMERGE_VD,MATCH(H9,DIFFERENTIATION_ID_DIFF,0)))</f>
        <v/>
      </c>
      <c r="I10" s="1476">
        <f>IF(I9="","",INDEX(DIFFERENTIATION_UNMERGE_VD,MATCH(I9,DIFFERENTIATION_ID_DIFF,0)))</f>
        <v>0</v>
      </c>
      <c r="J10" s="3889"/>
      <c r="AF10" s="1555">
        <v>11</v>
      </c>
    </row>
    <row r="11" spans="1:32" ht="11.45" customHeight="1">
      <c r="E11" s="645"/>
      <c r="F11" s="4120" t="s">
        <v>773</v>
      </c>
      <c r="G11" s="4121"/>
      <c r="H11" s="1476" t="str">
        <f>IF(H9="","",INDEX(DIFFERENTIATION_UNMERGE_AREA,MATCH(H9,DIFFERENTIATION_ID_DIFF,0)))</f>
        <v/>
      </c>
      <c r="I11" s="1476" t="str">
        <f>IF(I9="","",INDEX(DIFFERENTIATION_UNMERGE_AREA,MATCH(I9,DIFFERENTIATION_ID_DIFF,0)))</f>
        <v/>
      </c>
      <c r="J11" s="3889"/>
      <c r="AF11" s="1555">
        <v>11</v>
      </c>
    </row>
    <row r="12" spans="1:32" ht="1.1499999999999999" customHeight="1">
      <c r="E12" s="1586"/>
      <c r="F12" s="4138" t="s">
        <v>774</v>
      </c>
      <c r="G12" s="4139"/>
      <c r="H12" s="1587" t="str">
        <f>IF(H9="","",INDEX(DIFFERENTIATION_UNMERGE_SYSTEM,MATCH(H9,DIFFERENTIATION_ID_DIFF,0)))</f>
        <v/>
      </c>
      <c r="I12" s="1587" t="str">
        <f>IF(I9="","",INDEX(DIFFERENTIATION_UNMERGE_SYSTEM,MATCH(I9,DIFFERENTIATION_ID_DIFF,0)))</f>
        <v>без дифференциации</v>
      </c>
      <c r="J12" s="3889"/>
      <c r="AF12" s="1555">
        <v>1</v>
      </c>
    </row>
    <row r="13" spans="1:32" ht="11.45" customHeight="1">
      <c r="E13" s="4122" t="s">
        <v>508</v>
      </c>
      <c r="F13" s="4123"/>
      <c r="G13" s="4123"/>
      <c r="H13" s="1475"/>
      <c r="I13" s="1475"/>
      <c r="J13" s="3889"/>
      <c r="AF13" s="1555">
        <v>11</v>
      </c>
    </row>
    <row r="14" spans="1:32" ht="24" customHeight="1">
      <c r="E14" s="1563" t="s">
        <v>75</v>
      </c>
      <c r="F14" s="1558" t="s">
        <v>510</v>
      </c>
      <c r="G14" s="1558" t="s">
        <v>775</v>
      </c>
      <c r="H14" s="1558" t="s">
        <v>511</v>
      </c>
      <c r="I14" s="1558" t="s">
        <v>511</v>
      </c>
      <c r="J14" s="3889"/>
      <c r="AF14" s="1555">
        <v>23</v>
      </c>
    </row>
    <row r="15" spans="1:32" ht="19.899999999999999" customHeight="1">
      <c r="D15" s="1562"/>
      <c r="E15" s="1554" t="s">
        <v>184</v>
      </c>
      <c r="F15" s="641" t="s">
        <v>913</v>
      </c>
      <c r="G15" s="1570" t="s">
        <v>761</v>
      </c>
      <c r="H15" s="491"/>
      <c r="I15" s="491"/>
      <c r="J15" s="224" t="s">
        <v>914</v>
      </c>
      <c r="K15" s="477" t="s">
        <v>839</v>
      </c>
      <c r="AF15" s="1555">
        <v>19</v>
      </c>
    </row>
    <row r="16" spans="1:32" ht="35.65" customHeight="1">
      <c r="D16" s="1562"/>
      <c r="E16" s="1554" t="s">
        <v>89</v>
      </c>
      <c r="F16" s="641" t="s">
        <v>915</v>
      </c>
      <c r="G16" s="1570" t="s">
        <v>761</v>
      </c>
      <c r="H16" s="492">
        <f>SUM(H17,H20:H32)</f>
        <v>0</v>
      </c>
      <c r="I16" s="492">
        <f>SUM(I17,I20,I23,I26,I29:I32)</f>
        <v>0</v>
      </c>
      <c r="J16" s="224" t="s">
        <v>916</v>
      </c>
      <c r="K16" s="477" t="s">
        <v>839</v>
      </c>
      <c r="AF16" s="1555">
        <v>34</v>
      </c>
    </row>
    <row r="17" spans="1:32" ht="19.899999999999999" customHeight="1">
      <c r="D17" s="1562"/>
      <c r="E17" s="1588" t="s">
        <v>917</v>
      </c>
      <c r="F17" s="881" t="s">
        <v>918</v>
      </c>
      <c r="G17" s="1567" t="s">
        <v>761</v>
      </c>
      <c r="H17" s="491"/>
      <c r="I17" s="491"/>
      <c r="J17" s="224" t="s">
        <v>919</v>
      </c>
      <c r="K17" s="477"/>
      <c r="AF17" s="1555">
        <v>19</v>
      </c>
    </row>
    <row r="18" spans="1:32" ht="24" customHeight="1">
      <c r="D18" s="1562"/>
      <c r="E18" s="1588" t="s">
        <v>920</v>
      </c>
      <c r="F18" s="1574" t="s">
        <v>921</v>
      </c>
      <c r="G18" s="1567" t="s">
        <v>761</v>
      </c>
      <c r="H18" s="491"/>
      <c r="I18" s="491"/>
      <c r="J18" s="224" t="s">
        <v>922</v>
      </c>
      <c r="K18" s="477"/>
      <c r="AF18" s="1555">
        <v>23</v>
      </c>
    </row>
    <row r="19" spans="1:32" ht="35.65" customHeight="1">
      <c r="D19" s="1562"/>
      <c r="E19" s="1588" t="s">
        <v>923</v>
      </c>
      <c r="F19" s="1574" t="s">
        <v>924</v>
      </c>
      <c r="G19" s="1567" t="s">
        <v>761</v>
      </c>
      <c r="H19" s="491"/>
      <c r="I19" s="491"/>
      <c r="J19" s="224"/>
      <c r="K19" s="477"/>
      <c r="AF19" s="1555">
        <v>34</v>
      </c>
    </row>
    <row r="20" spans="1:32" ht="19.899999999999999" customHeight="1">
      <c r="D20" s="1562"/>
      <c r="E20" s="1588" t="s">
        <v>515</v>
      </c>
      <c r="F20" s="881" t="s">
        <v>925</v>
      </c>
      <c r="G20" s="1567" t="s">
        <v>761</v>
      </c>
      <c r="H20" s="491"/>
      <c r="I20" s="491"/>
      <c r="J20" s="224" t="s">
        <v>926</v>
      </c>
      <c r="K20" s="477"/>
      <c r="AF20" s="1555">
        <v>19</v>
      </c>
    </row>
    <row r="21" spans="1:32" ht="19.899999999999999" customHeight="1">
      <c r="D21" s="1562"/>
      <c r="E21" s="1588" t="s">
        <v>927</v>
      </c>
      <c r="F21" s="1574" t="s">
        <v>928</v>
      </c>
      <c r="G21" s="1567" t="s">
        <v>761</v>
      </c>
      <c r="H21" s="491"/>
      <c r="I21" s="491"/>
      <c r="J21" s="224"/>
      <c r="K21" s="477"/>
      <c r="AF21" s="1555">
        <v>19</v>
      </c>
    </row>
    <row r="22" spans="1:32" ht="19.899999999999999" customHeight="1">
      <c r="D22" s="1562"/>
      <c r="E22" s="1588" t="s">
        <v>929</v>
      </c>
      <c r="F22" s="1574" t="s">
        <v>930</v>
      </c>
      <c r="G22" s="1567" t="s">
        <v>761</v>
      </c>
      <c r="H22" s="491"/>
      <c r="I22" s="491"/>
      <c r="J22" s="224"/>
      <c r="K22" s="477"/>
      <c r="AF22" s="1555">
        <v>19</v>
      </c>
    </row>
    <row r="23" spans="1:32" ht="24" customHeight="1">
      <c r="D23" s="1562"/>
      <c r="E23" s="1588" t="s">
        <v>518</v>
      </c>
      <c r="F23" s="881" t="s">
        <v>931</v>
      </c>
      <c r="G23" s="1567" t="s">
        <v>761</v>
      </c>
      <c r="H23" s="491"/>
      <c r="I23" s="491"/>
      <c r="J23" s="224" t="s">
        <v>932</v>
      </c>
      <c r="K23" s="477"/>
      <c r="AF23" s="1555">
        <v>23</v>
      </c>
    </row>
    <row r="24" spans="1:32" ht="19.899999999999999" customHeight="1">
      <c r="D24" s="1562"/>
      <c r="E24" s="1588" t="s">
        <v>933</v>
      </c>
      <c r="F24" s="1574" t="s">
        <v>934</v>
      </c>
      <c r="G24" s="1567" t="s">
        <v>761</v>
      </c>
      <c r="H24" s="491"/>
      <c r="I24" s="491"/>
      <c r="J24" s="224"/>
      <c r="K24" s="477"/>
      <c r="AF24" s="1555">
        <v>19</v>
      </c>
    </row>
    <row r="25" spans="1:32" ht="35.65" customHeight="1">
      <c r="D25" s="1562"/>
      <c r="E25" s="1588" t="s">
        <v>935</v>
      </c>
      <c r="F25" s="1574" t="s">
        <v>936</v>
      </c>
      <c r="G25" s="1567" t="s">
        <v>761</v>
      </c>
      <c r="H25" s="491"/>
      <c r="I25" s="491"/>
      <c r="J25" s="224"/>
      <c r="K25" s="477"/>
      <c r="AF25" s="1555">
        <v>34</v>
      </c>
    </row>
    <row r="26" spans="1:32" ht="24" customHeight="1">
      <c r="D26" s="1562"/>
      <c r="E26" s="1588" t="s">
        <v>937</v>
      </c>
      <c r="F26" s="881" t="s">
        <v>938</v>
      </c>
      <c r="G26" s="1567" t="s">
        <v>761</v>
      </c>
      <c r="H26" s="491"/>
      <c r="I26" s="491"/>
      <c r="J26" s="224" t="s">
        <v>939</v>
      </c>
      <c r="K26" s="477"/>
      <c r="AF26" s="1555">
        <v>23</v>
      </c>
    </row>
    <row r="27" spans="1:32" ht="19.899999999999999" customHeight="1">
      <c r="D27" s="1562"/>
      <c r="E27" s="1599" t="s">
        <v>940</v>
      </c>
      <c r="F27" s="1574" t="s">
        <v>941</v>
      </c>
      <c r="G27" s="1578" t="s">
        <v>761</v>
      </c>
      <c r="H27" s="1600"/>
      <c r="I27" s="1600"/>
      <c r="J27" s="224"/>
      <c r="K27" s="477"/>
      <c r="AF27" s="1555">
        <v>19</v>
      </c>
    </row>
    <row r="28" spans="1:32" ht="19.899999999999999" customHeight="1">
      <c r="D28" s="1562"/>
      <c r="E28" s="1599" t="s">
        <v>942</v>
      </c>
      <c r="F28" s="1574" t="s">
        <v>943</v>
      </c>
      <c r="G28" s="1578" t="s">
        <v>761</v>
      </c>
      <c r="H28" s="1600"/>
      <c r="I28" s="1600"/>
      <c r="J28" s="224"/>
      <c r="K28" s="477"/>
      <c r="AF28" s="1555">
        <v>19</v>
      </c>
    </row>
    <row r="29" spans="1:32" ht="19.899999999999999" customHeight="1">
      <c r="D29" s="1562"/>
      <c r="E29" s="1599" t="s">
        <v>944</v>
      </c>
      <c r="F29" s="881" t="s">
        <v>945</v>
      </c>
      <c r="G29" s="1578" t="s">
        <v>761</v>
      </c>
      <c r="H29" s="1600"/>
      <c r="I29" s="1600"/>
      <c r="J29" s="224"/>
      <c r="K29" s="477"/>
      <c r="AF29" s="1555">
        <v>19</v>
      </c>
    </row>
    <row r="30" spans="1:32" ht="19.899999999999999" customHeight="1">
      <c r="D30" s="1562"/>
      <c r="E30" s="1599" t="s">
        <v>946</v>
      </c>
      <c r="F30" s="881" t="s">
        <v>947</v>
      </c>
      <c r="G30" s="1578" t="s">
        <v>761</v>
      </c>
      <c r="H30" s="1600"/>
      <c r="I30" s="1600"/>
      <c r="J30" s="224"/>
      <c r="K30" s="477"/>
      <c r="AF30" s="1555">
        <v>19</v>
      </c>
    </row>
    <row r="31" spans="1:32" ht="19.899999999999999" customHeight="1">
      <c r="D31" s="1562"/>
      <c r="E31" s="1599" t="s">
        <v>948</v>
      </c>
      <c r="F31" s="881" t="s">
        <v>949</v>
      </c>
      <c r="G31" s="1578" t="s">
        <v>761</v>
      </c>
      <c r="H31" s="1600"/>
      <c r="I31" s="1600"/>
      <c r="J31" s="224"/>
      <c r="K31" s="477"/>
      <c r="AF31" s="1555">
        <v>19</v>
      </c>
    </row>
    <row r="32" spans="1:32" s="1290" customFormat="1" ht="35.65" customHeight="1">
      <c r="A32" s="914"/>
      <c r="C32" s="1560"/>
      <c r="D32" s="1562"/>
      <c r="E32" s="1599" t="s">
        <v>950</v>
      </c>
      <c r="F32" s="881" t="s">
        <v>951</v>
      </c>
      <c r="G32" s="1568" t="s">
        <v>761</v>
      </c>
      <c r="H32" s="513">
        <f>SUM(H33:H34)</f>
        <v>0</v>
      </c>
      <c r="I32" s="513">
        <f>SUM(I33:I34)</f>
        <v>0</v>
      </c>
      <c r="J32" s="224" t="s">
        <v>952</v>
      </c>
      <c r="K32" s="477"/>
      <c r="L32" s="1560"/>
      <c r="M32" s="1560"/>
      <c r="R32" s="1560"/>
      <c r="U32" s="478"/>
      <c r="AA32" s="1556"/>
      <c r="AB32" s="1556"/>
      <c r="AC32" s="1556"/>
      <c r="AD32" s="1556"/>
      <c r="AE32" s="1556"/>
      <c r="AF32" s="1084">
        <v>34</v>
      </c>
    </row>
    <row r="33" spans="1:32" s="1566" customFormat="1" ht="1.1499999999999999" customHeight="1">
      <c r="A33" s="1091"/>
      <c r="D33" s="482"/>
      <c r="E33" s="730" t="str">
        <f>E32&amp;".0"</f>
        <v>2.8.0</v>
      </c>
      <c r="F33" s="918"/>
      <c r="G33" s="485"/>
      <c r="H33" s="919"/>
      <c r="I33" s="919"/>
      <c r="J33" s="920"/>
      <c r="AF33" s="1560">
        <v>1</v>
      </c>
    </row>
    <row r="34" spans="1:32" s="1290" customFormat="1" ht="19.899999999999999" customHeight="1">
      <c r="A34" s="914"/>
      <c r="C34" s="1560"/>
      <c r="D34" s="1557"/>
      <c r="E34" s="504"/>
      <c r="F34" s="1590" t="s">
        <v>786</v>
      </c>
      <c r="G34" s="506"/>
      <c r="H34" s="507"/>
      <c r="I34" s="507"/>
      <c r="J34" s="236" t="s">
        <v>953</v>
      </c>
      <c r="K34" s="477"/>
      <c r="L34" s="1560"/>
      <c r="M34" s="1560"/>
      <c r="R34" s="1560"/>
      <c r="U34" s="478"/>
      <c r="AA34" s="1556"/>
      <c r="AB34" s="1556"/>
      <c r="AC34" s="1556"/>
      <c r="AD34" s="1556"/>
      <c r="AE34" s="1556"/>
      <c r="AF34" s="1084">
        <v>19</v>
      </c>
    </row>
    <row r="35" spans="1:32" ht="60" customHeight="1">
      <c r="D35" s="1562"/>
      <c r="E35" s="1599" t="s">
        <v>954</v>
      </c>
      <c r="F35" s="881" t="s">
        <v>955</v>
      </c>
      <c r="G35" s="1578" t="s">
        <v>761</v>
      </c>
      <c r="H35" s="1600"/>
      <c r="I35" s="1600"/>
      <c r="J35" s="224" t="s">
        <v>956</v>
      </c>
      <c r="K35" s="477"/>
      <c r="AF35" s="1555">
        <v>57</v>
      </c>
    </row>
    <row r="36" spans="1:32" s="1290" customFormat="1" ht="24" customHeight="1">
      <c r="A36" s="916" t="s">
        <v>787</v>
      </c>
      <c r="C36" s="1560"/>
      <c r="D36" s="1562"/>
      <c r="E36" s="1588" t="s">
        <v>77</v>
      </c>
      <c r="F36" s="641" t="s">
        <v>957</v>
      </c>
      <c r="G36" s="1567" t="s">
        <v>761</v>
      </c>
      <c r="H36" s="491"/>
      <c r="I36" s="491"/>
      <c r="J36" s="224" t="s">
        <v>958</v>
      </c>
      <c r="K36" s="477"/>
      <c r="L36" s="1560"/>
      <c r="M36" s="1560"/>
      <c r="R36" s="1560"/>
      <c r="U36" s="478"/>
      <c r="AA36" s="1556"/>
      <c r="AB36" s="1556"/>
      <c r="AC36" s="1556"/>
      <c r="AD36" s="1556"/>
      <c r="AE36" s="1556"/>
      <c r="AF36" s="1084">
        <v>23</v>
      </c>
    </row>
    <row r="37" spans="1:32" s="1290" customFormat="1" ht="35.65" customHeight="1">
      <c r="A37" s="916"/>
      <c r="C37" s="1560"/>
      <c r="D37" s="1562"/>
      <c r="E37" s="1588" t="s">
        <v>532</v>
      </c>
      <c r="F37" s="881" t="s">
        <v>959</v>
      </c>
      <c r="G37" s="1578"/>
      <c r="H37" s="491"/>
      <c r="I37" s="491"/>
      <c r="J37" s="224"/>
      <c r="K37" s="477"/>
      <c r="L37" s="1560"/>
      <c r="M37" s="1560"/>
      <c r="R37" s="1560"/>
      <c r="U37" s="478"/>
      <c r="AA37" s="1556"/>
      <c r="AB37" s="1556"/>
      <c r="AC37" s="1556"/>
      <c r="AD37" s="1556"/>
      <c r="AE37" s="1556"/>
      <c r="AF37" s="1084">
        <v>34</v>
      </c>
    </row>
    <row r="38" spans="1:32" s="1290" customFormat="1" ht="19.899999999999999" customHeight="1">
      <c r="A38" s="914"/>
      <c r="C38" s="1560"/>
      <c r="D38" s="509"/>
      <c r="E38" s="1588" t="s">
        <v>78</v>
      </c>
      <c r="F38" s="641" t="s">
        <v>960</v>
      </c>
      <c r="G38" s="1567" t="s">
        <v>761</v>
      </c>
      <c r="H38" s="491"/>
      <c r="I38" s="491"/>
      <c r="J38" s="224" t="s">
        <v>961</v>
      </c>
      <c r="K38" s="477"/>
      <c r="L38" s="1560"/>
      <c r="M38" s="1560"/>
      <c r="R38" s="1560"/>
      <c r="U38" s="478"/>
      <c r="AA38" s="1556"/>
      <c r="AB38" s="1556"/>
      <c r="AC38" s="1556"/>
      <c r="AD38" s="1556"/>
      <c r="AE38" s="1556"/>
      <c r="AF38" s="1084">
        <v>19</v>
      </c>
    </row>
    <row r="39" spans="1:32" s="1290" customFormat="1" ht="24" customHeight="1">
      <c r="A39" s="914"/>
      <c r="C39" s="1560"/>
      <c r="D39" s="509"/>
      <c r="E39" s="1588" t="s">
        <v>962</v>
      </c>
      <c r="F39" s="881" t="s">
        <v>963</v>
      </c>
      <c r="G39" s="1578" t="s">
        <v>761</v>
      </c>
      <c r="H39" s="491"/>
      <c r="I39" s="491"/>
      <c r="J39" s="224" t="s">
        <v>964</v>
      </c>
      <c r="K39" s="477"/>
      <c r="L39" s="1560"/>
      <c r="M39" s="1560"/>
      <c r="R39" s="1560"/>
      <c r="U39" s="478"/>
      <c r="AA39" s="1556"/>
      <c r="AB39" s="1556"/>
      <c r="AC39" s="1556"/>
      <c r="AD39" s="1556"/>
      <c r="AE39" s="1556"/>
      <c r="AF39" s="1084">
        <v>23</v>
      </c>
    </row>
    <row r="40" spans="1:32" s="1290" customFormat="1" ht="24" customHeight="1">
      <c r="A40" s="914"/>
      <c r="C40" s="1560"/>
      <c r="D40" s="1562"/>
      <c r="E40" s="1588" t="s">
        <v>965</v>
      </c>
      <c r="F40" s="1574" t="s">
        <v>966</v>
      </c>
      <c r="G40" s="1567" t="s">
        <v>761</v>
      </c>
      <c r="H40" s="491"/>
      <c r="I40" s="491"/>
      <c r="J40" s="224" t="s">
        <v>967</v>
      </c>
      <c r="K40" s="477"/>
      <c r="L40" s="1560"/>
      <c r="M40" s="1560"/>
      <c r="R40" s="1560"/>
      <c r="U40" s="478"/>
      <c r="AA40" s="1556"/>
      <c r="AB40" s="1556"/>
      <c r="AC40" s="1556"/>
      <c r="AD40" s="1556"/>
      <c r="AE40" s="1556"/>
      <c r="AF40" s="1084">
        <v>23</v>
      </c>
    </row>
    <row r="41" spans="1:32" s="1290" customFormat="1" ht="24" customHeight="1">
      <c r="A41" s="914"/>
      <c r="C41" s="1560"/>
      <c r="D41" s="1562"/>
      <c r="E41" s="1588" t="s">
        <v>968</v>
      </c>
      <c r="F41" s="1574" t="s">
        <v>969</v>
      </c>
      <c r="G41" s="1567" t="s">
        <v>761</v>
      </c>
      <c r="H41" s="491"/>
      <c r="I41" s="491"/>
      <c r="J41" s="224" t="s">
        <v>970</v>
      </c>
      <c r="K41" s="477"/>
      <c r="L41" s="1560"/>
      <c r="M41" s="1560"/>
      <c r="R41" s="1560"/>
      <c r="U41" s="478"/>
      <c r="AA41" s="1556"/>
      <c r="AB41" s="1556"/>
      <c r="AC41" s="1556"/>
      <c r="AD41" s="1556"/>
      <c r="AE41" s="1556"/>
      <c r="AF41" s="1084">
        <v>23</v>
      </c>
    </row>
    <row r="42" spans="1:32" s="1290" customFormat="1" ht="24" customHeight="1">
      <c r="A42" s="914"/>
      <c r="C42" s="1560"/>
      <c r="D42" s="1562"/>
      <c r="E42" s="1588" t="s">
        <v>971</v>
      </c>
      <c r="F42" s="1574" t="s">
        <v>972</v>
      </c>
      <c r="G42" s="1567" t="s">
        <v>761</v>
      </c>
      <c r="H42" s="491"/>
      <c r="I42" s="491"/>
      <c r="J42" s="224" t="s">
        <v>973</v>
      </c>
      <c r="K42" s="477"/>
      <c r="L42" s="1560"/>
      <c r="M42" s="1560"/>
      <c r="R42" s="1560"/>
      <c r="U42" s="478"/>
      <c r="AA42" s="1556"/>
      <c r="AB42" s="1556"/>
      <c r="AC42" s="1556"/>
      <c r="AD42" s="1556"/>
      <c r="AE42" s="1556"/>
      <c r="AF42" s="1084">
        <v>23</v>
      </c>
    </row>
    <row r="43" spans="1:32" s="1290" customFormat="1" ht="35.65" customHeight="1">
      <c r="A43" s="914"/>
      <c r="C43" s="1560" t="s">
        <v>797</v>
      </c>
      <c r="D43" s="1562"/>
      <c r="E43" s="1588" t="s">
        <v>115</v>
      </c>
      <c r="F43" s="641" t="s">
        <v>838</v>
      </c>
      <c r="G43" s="1570" t="s">
        <v>974</v>
      </c>
      <c r="H43" s="335"/>
      <c r="I43" s="335"/>
      <c r="J43" s="224" t="s">
        <v>975</v>
      </c>
      <c r="K43" s="477"/>
      <c r="L43" s="1560"/>
      <c r="M43" s="1560"/>
      <c r="R43" s="1560"/>
      <c r="U43" s="478"/>
      <c r="AA43" s="1556"/>
      <c r="AB43" s="1556"/>
      <c r="AC43" s="1556"/>
      <c r="AD43" s="1556"/>
      <c r="AE43" s="1556"/>
      <c r="AF43" s="1084">
        <v>34</v>
      </c>
    </row>
    <row r="44" spans="1:32" s="1290" customFormat="1" ht="35.65" customHeight="1">
      <c r="A44" s="914"/>
      <c r="C44" s="1560"/>
      <c r="D44" s="1562"/>
      <c r="E44" s="1588" t="s">
        <v>79</v>
      </c>
      <c r="F44" s="641" t="s">
        <v>976</v>
      </c>
      <c r="G44" s="1567" t="s">
        <v>977</v>
      </c>
      <c r="H44" s="479"/>
      <c r="I44" s="479"/>
      <c r="J44" s="224" t="s">
        <v>978</v>
      </c>
      <c r="K44" s="477"/>
      <c r="L44" s="1560"/>
      <c r="M44" s="1560"/>
      <c r="R44" s="1560"/>
      <c r="U44" s="478"/>
      <c r="AA44" s="1556"/>
      <c r="AB44" s="1556"/>
      <c r="AC44" s="1556"/>
      <c r="AD44" s="1556"/>
      <c r="AE44" s="1556"/>
      <c r="AF44" s="1084">
        <v>34</v>
      </c>
    </row>
    <row r="45" spans="1:32" s="1290" customFormat="1" ht="24" customHeight="1">
      <c r="A45" s="914"/>
      <c r="C45" s="1560"/>
      <c r="D45" s="1562"/>
      <c r="E45" s="1588" t="s">
        <v>80</v>
      </c>
      <c r="F45" s="641" t="s">
        <v>979</v>
      </c>
      <c r="G45" s="1578" t="s">
        <v>980</v>
      </c>
      <c r="H45" s="479"/>
      <c r="I45" s="479"/>
      <c r="J45" s="224" t="s">
        <v>981</v>
      </c>
      <c r="K45" s="477"/>
      <c r="L45" s="1560"/>
      <c r="M45" s="1560"/>
      <c r="R45" s="1560"/>
      <c r="U45" s="478"/>
      <c r="AA45" s="1556"/>
      <c r="AB45" s="1556"/>
      <c r="AC45" s="1556"/>
      <c r="AD45" s="1556"/>
      <c r="AE45" s="1556"/>
      <c r="AF45" s="1084">
        <v>23</v>
      </c>
    </row>
    <row r="46" spans="1:32" s="1290" customFormat="1" ht="19.899999999999999" customHeight="1">
      <c r="A46" s="914"/>
      <c r="C46" s="1560"/>
      <c r="D46" s="1562"/>
      <c r="E46" s="1588" t="s">
        <v>134</v>
      </c>
      <c r="F46" s="641" t="s">
        <v>982</v>
      </c>
      <c r="G46" s="1567" t="s">
        <v>799</v>
      </c>
      <c r="H46" s="511"/>
      <c r="I46" s="511"/>
      <c r="J46" s="224"/>
      <c r="K46" s="477"/>
      <c r="L46" s="1560"/>
      <c r="M46" s="1560"/>
      <c r="R46" s="1560"/>
      <c r="U46" s="478"/>
      <c r="AA46" s="1556"/>
      <c r="AB46" s="1556"/>
      <c r="AC46" s="1556"/>
      <c r="AD46" s="1556"/>
      <c r="AE46" s="1556"/>
      <c r="AF46" s="1084">
        <v>19</v>
      </c>
    </row>
    <row r="47" spans="1:32" ht="11.45" customHeight="1">
      <c r="D47" s="1562"/>
      <c r="AF47" s="1555">
        <v>11</v>
      </c>
    </row>
    <row r="48" spans="1:32" s="1565" customFormat="1" ht="11.45" customHeight="1">
      <c r="A48" s="914"/>
      <c r="B48" s="1560"/>
      <c r="C48" s="1560"/>
      <c r="D48" s="285"/>
      <c r="K48" s="1084"/>
      <c r="L48" s="1560"/>
      <c r="M48" s="1560"/>
      <c r="N48" s="1084"/>
      <c r="O48" s="1084"/>
      <c r="P48" s="1084"/>
      <c r="Q48" s="1084"/>
      <c r="R48" s="1560"/>
      <c r="S48" s="1084"/>
      <c r="T48" s="1084"/>
      <c r="U48" s="478"/>
      <c r="V48" s="1084"/>
      <c r="W48" s="1084"/>
      <c r="X48" s="1084"/>
      <c r="Y48" s="1084"/>
      <c r="Z48" s="1084"/>
      <c r="AA48" s="1556"/>
      <c r="AB48" s="500"/>
      <c r="AC48" s="500"/>
      <c r="AD48" s="500"/>
      <c r="AE48" s="500"/>
      <c r="AF48" s="1565">
        <v>11</v>
      </c>
    </row>
    <row r="49" spans="1:32" s="1565" customFormat="1" ht="11.45" customHeight="1">
      <c r="A49" s="914"/>
      <c r="B49" s="1560"/>
      <c r="C49" s="1560"/>
      <c r="D49" s="285"/>
      <c r="K49" s="1084"/>
      <c r="L49" s="1560"/>
      <c r="M49" s="1560"/>
      <c r="N49" s="1084"/>
      <c r="O49" s="1084"/>
      <c r="P49" s="1084"/>
      <c r="Q49" s="1084"/>
      <c r="R49" s="1560"/>
      <c r="S49" s="1084"/>
      <c r="T49" s="1084"/>
      <c r="U49" s="478"/>
      <c r="V49" s="1084"/>
      <c r="W49" s="1084"/>
      <c r="X49" s="1084"/>
      <c r="Y49" s="1084"/>
      <c r="Z49" s="1084"/>
      <c r="AA49" s="1556"/>
      <c r="AB49" s="500"/>
      <c r="AC49" s="500"/>
      <c r="AD49" s="500"/>
      <c r="AE49" s="500"/>
      <c r="AF49" s="1565">
        <v>11</v>
      </c>
    </row>
    <row r="50" spans="1:32" s="1565" customFormat="1" ht="11.45" customHeight="1">
      <c r="A50" s="914"/>
      <c r="B50" s="1560"/>
      <c r="C50" s="1560"/>
      <c r="D50" s="285"/>
      <c r="H50" s="500"/>
      <c r="I50" s="500"/>
      <c r="K50" s="1084"/>
      <c r="L50" s="1560"/>
      <c r="M50" s="1560"/>
      <c r="N50" s="1084"/>
      <c r="O50" s="1084"/>
      <c r="P50" s="1084"/>
      <c r="Q50" s="1084"/>
      <c r="R50" s="1560"/>
      <c r="S50" s="1084"/>
      <c r="T50" s="1084"/>
      <c r="U50" s="478"/>
      <c r="V50" s="1084"/>
      <c r="W50" s="1084"/>
      <c r="X50" s="1084"/>
      <c r="Y50" s="1084"/>
      <c r="Z50" s="1084"/>
      <c r="AA50" s="1556"/>
      <c r="AB50" s="500"/>
      <c r="AC50" s="500"/>
      <c r="AD50" s="500"/>
      <c r="AE50" s="500"/>
      <c r="AF50" s="1565">
        <v>11</v>
      </c>
    </row>
    <row r="51" spans="1:32" s="1565" customFormat="1" ht="11.45" customHeight="1">
      <c r="A51" s="914"/>
      <c r="B51" s="1560"/>
      <c r="C51" s="1560"/>
      <c r="D51" s="285"/>
      <c r="K51" s="1084"/>
      <c r="L51" s="1560"/>
      <c r="M51" s="1560"/>
      <c r="N51" s="1084"/>
      <c r="O51" s="1084"/>
      <c r="P51" s="1084"/>
      <c r="Q51" s="1084"/>
      <c r="R51" s="1560"/>
      <c r="S51" s="1084"/>
      <c r="T51" s="1084"/>
      <c r="U51" s="478"/>
      <c r="V51" s="1084"/>
      <c r="W51" s="1084"/>
      <c r="X51" s="1084"/>
      <c r="Y51" s="1084"/>
      <c r="Z51" s="1084"/>
      <c r="AA51" s="1556"/>
      <c r="AB51" s="500"/>
      <c r="AC51" s="500"/>
      <c r="AD51" s="500"/>
      <c r="AE51" s="500"/>
      <c r="AF51" s="1565">
        <v>11</v>
      </c>
    </row>
    <row r="52" spans="1:32" s="1565" customFormat="1" ht="11.45" customHeight="1">
      <c r="A52" s="914"/>
      <c r="B52" s="1560"/>
      <c r="C52" s="1560"/>
      <c r="D52" s="285"/>
      <c r="K52" s="1084"/>
      <c r="L52" s="1560"/>
      <c r="M52" s="1560"/>
      <c r="N52" s="1084"/>
      <c r="O52" s="1084"/>
      <c r="P52" s="1084"/>
      <c r="Q52" s="1084"/>
      <c r="R52" s="1560"/>
      <c r="S52" s="1084"/>
      <c r="T52" s="1084"/>
      <c r="U52" s="478"/>
      <c r="V52" s="1084"/>
      <c r="W52" s="1084"/>
      <c r="X52" s="1084"/>
      <c r="Y52" s="1084"/>
      <c r="Z52" s="1084"/>
      <c r="AA52" s="1556"/>
      <c r="AB52" s="500"/>
      <c r="AC52" s="500"/>
      <c r="AD52" s="500"/>
      <c r="AE52" s="500"/>
      <c r="AF52" s="1565">
        <v>11</v>
      </c>
    </row>
    <row r="53" spans="1:32" s="1565" customFormat="1" ht="11.45" customHeight="1">
      <c r="A53" s="914"/>
      <c r="B53" s="1560"/>
      <c r="C53" s="1560"/>
      <c r="D53" s="285"/>
      <c r="K53" s="1084"/>
      <c r="L53" s="1560"/>
      <c r="M53" s="1560"/>
      <c r="N53" s="1084"/>
      <c r="O53" s="1084"/>
      <c r="P53" s="1084"/>
      <c r="Q53" s="1084"/>
      <c r="R53" s="1560"/>
      <c r="S53" s="1084"/>
      <c r="T53" s="1084"/>
      <c r="U53" s="478"/>
      <c r="V53" s="1084"/>
      <c r="W53" s="1084"/>
      <c r="X53" s="1084"/>
      <c r="Y53" s="1084"/>
      <c r="Z53" s="1084"/>
      <c r="AA53" s="1556"/>
      <c r="AB53" s="500"/>
      <c r="AC53" s="500"/>
      <c r="AD53" s="500"/>
      <c r="AE53" s="500"/>
      <c r="AF53" s="1565">
        <v>11</v>
      </c>
    </row>
    <row r="54" spans="1:32" s="1565" customFormat="1" ht="11.45" customHeight="1">
      <c r="A54" s="914"/>
      <c r="B54" s="1560"/>
      <c r="C54" s="1560"/>
      <c r="D54" s="285"/>
      <c r="K54" s="1084"/>
      <c r="L54" s="1560"/>
      <c r="M54" s="1560"/>
      <c r="N54" s="1084"/>
      <c r="O54" s="1084"/>
      <c r="P54" s="1084"/>
      <c r="Q54" s="1084"/>
      <c r="R54" s="1560"/>
      <c r="S54" s="1084"/>
      <c r="T54" s="1084"/>
      <c r="U54" s="478"/>
      <c r="V54" s="1084"/>
      <c r="W54" s="1084"/>
      <c r="X54" s="1084"/>
      <c r="Y54" s="1084"/>
      <c r="Z54" s="1084"/>
      <c r="AA54" s="1556"/>
      <c r="AB54" s="500"/>
      <c r="AC54" s="500"/>
      <c r="AD54" s="500"/>
      <c r="AE54" s="500"/>
      <c r="AF54" s="1565">
        <v>11</v>
      </c>
    </row>
    <row r="55" spans="1:32" s="1565" customFormat="1" ht="11.45" customHeight="1">
      <c r="A55" s="914"/>
      <c r="B55" s="1560"/>
      <c r="C55" s="1560"/>
      <c r="D55" s="285"/>
      <c r="K55" s="1084"/>
      <c r="L55" s="1560"/>
      <c r="M55" s="1560"/>
      <c r="N55" s="1084"/>
      <c r="O55" s="1084"/>
      <c r="P55" s="1084"/>
      <c r="Q55" s="1084"/>
      <c r="R55" s="1560"/>
      <c r="S55" s="1084"/>
      <c r="T55" s="1084"/>
      <c r="U55" s="478"/>
      <c r="V55" s="1084"/>
      <c r="W55" s="1084"/>
      <c r="X55" s="1084"/>
      <c r="Y55" s="1084"/>
      <c r="Z55" s="1084"/>
      <c r="AA55" s="1556"/>
      <c r="AB55" s="500"/>
      <c r="AC55" s="500"/>
      <c r="AD55" s="500"/>
      <c r="AE55" s="500"/>
      <c r="AF55" s="1565">
        <v>11</v>
      </c>
    </row>
    <row r="56" spans="1:32" s="1565" customFormat="1" ht="11.45" customHeight="1">
      <c r="A56" s="914"/>
      <c r="B56" s="1560"/>
      <c r="C56" s="1560"/>
      <c r="D56" s="285"/>
      <c r="K56" s="1084"/>
      <c r="L56" s="1560"/>
      <c r="M56" s="1560"/>
      <c r="N56" s="1084"/>
      <c r="O56" s="1084"/>
      <c r="P56" s="1084"/>
      <c r="Q56" s="1084"/>
      <c r="R56" s="1560"/>
      <c r="S56" s="1084"/>
      <c r="T56" s="1084"/>
      <c r="U56" s="478"/>
      <c r="V56" s="1084"/>
      <c r="W56" s="1084"/>
      <c r="X56" s="1084"/>
      <c r="Y56" s="1084"/>
      <c r="Z56" s="1084"/>
      <c r="AA56" s="1556"/>
      <c r="AB56" s="500"/>
      <c r="AC56" s="500"/>
      <c r="AD56" s="500"/>
      <c r="AE56" s="500"/>
      <c r="AF56" s="1565">
        <v>11</v>
      </c>
    </row>
    <row r="57" spans="1:32" s="1565" customFormat="1" ht="11.45" customHeight="1">
      <c r="A57" s="914"/>
      <c r="B57" s="1560"/>
      <c r="C57" s="1560"/>
      <c r="D57" s="285"/>
      <c r="K57" s="1084"/>
      <c r="L57" s="1560"/>
      <c r="M57" s="1560"/>
      <c r="N57" s="1084"/>
      <c r="O57" s="1084"/>
      <c r="P57" s="1084"/>
      <c r="Q57" s="1084"/>
      <c r="R57" s="1560"/>
      <c r="S57" s="1084"/>
      <c r="T57" s="1084"/>
      <c r="U57" s="478"/>
      <c r="V57" s="1084"/>
      <c r="W57" s="1084"/>
      <c r="X57" s="1084"/>
      <c r="Y57" s="1084"/>
      <c r="Z57" s="1084"/>
      <c r="AA57" s="1556"/>
      <c r="AB57" s="500"/>
      <c r="AC57" s="500"/>
      <c r="AD57" s="500"/>
      <c r="AE57" s="500"/>
      <c r="AF57" s="1565">
        <v>11</v>
      </c>
    </row>
    <row r="58" spans="1:32" s="1565" customFormat="1" ht="11.45" customHeight="1">
      <c r="A58" s="914"/>
      <c r="B58" s="1560"/>
      <c r="C58" s="1560"/>
      <c r="D58" s="285"/>
      <c r="K58" s="1084"/>
      <c r="L58" s="1560"/>
      <c r="M58" s="1560"/>
      <c r="N58" s="1084"/>
      <c r="O58" s="1084"/>
      <c r="P58" s="1084"/>
      <c r="Q58" s="1084"/>
      <c r="R58" s="1560"/>
      <c r="S58" s="1084"/>
      <c r="T58" s="1084"/>
      <c r="U58" s="478"/>
      <c r="V58" s="1084"/>
      <c r="W58" s="1084"/>
      <c r="X58" s="1084"/>
      <c r="Y58" s="1084"/>
      <c r="Z58" s="1084"/>
      <c r="AA58" s="1556"/>
      <c r="AB58" s="500"/>
      <c r="AC58" s="500"/>
      <c r="AD58" s="500"/>
      <c r="AE58" s="500"/>
      <c r="AF58" s="1565">
        <v>11</v>
      </c>
    </row>
    <row r="59" spans="1:32" s="1565" customFormat="1" ht="11.45" customHeight="1">
      <c r="A59" s="914"/>
      <c r="B59" s="1560"/>
      <c r="C59" s="1560"/>
      <c r="D59" s="285"/>
      <c r="K59" s="1084"/>
      <c r="L59" s="1560"/>
      <c r="M59" s="1560"/>
      <c r="N59" s="1084"/>
      <c r="O59" s="1084"/>
      <c r="P59" s="1084"/>
      <c r="Q59" s="1084"/>
      <c r="R59" s="1560"/>
      <c r="S59" s="1084"/>
      <c r="T59" s="1084"/>
      <c r="U59" s="478"/>
      <c r="V59" s="1084"/>
      <c r="W59" s="1084"/>
      <c r="X59" s="1084"/>
      <c r="Y59" s="1084"/>
      <c r="Z59" s="1084"/>
      <c r="AA59" s="1556"/>
      <c r="AB59" s="500"/>
      <c r="AC59" s="500"/>
      <c r="AD59" s="500"/>
      <c r="AE59" s="500"/>
      <c r="AF59" s="1565">
        <v>11</v>
      </c>
    </row>
    <row r="60" spans="1:32" s="1565" customFormat="1" ht="11.45" customHeight="1">
      <c r="A60" s="914"/>
      <c r="B60" s="1560"/>
      <c r="C60" s="1560"/>
      <c r="D60" s="285"/>
      <c r="K60" s="1084"/>
      <c r="L60" s="1560"/>
      <c r="M60" s="1560"/>
      <c r="N60" s="1084"/>
      <c r="O60" s="1084"/>
      <c r="P60" s="1084"/>
      <c r="Q60" s="1084"/>
      <c r="R60" s="1560"/>
      <c r="S60" s="1084"/>
      <c r="T60" s="1084"/>
      <c r="U60" s="478"/>
      <c r="V60" s="1084"/>
      <c r="W60" s="1084"/>
      <c r="X60" s="1084"/>
      <c r="Y60" s="1084"/>
      <c r="Z60" s="1084"/>
      <c r="AA60" s="1556"/>
      <c r="AB60" s="500"/>
      <c r="AC60" s="500"/>
      <c r="AD60" s="500"/>
      <c r="AE60" s="500"/>
      <c r="AF60" s="1565">
        <v>11</v>
      </c>
    </row>
    <row r="61" spans="1:32" s="1565" customFormat="1" ht="11.45" customHeight="1">
      <c r="A61" s="914"/>
      <c r="B61" s="1560"/>
      <c r="C61" s="1560"/>
      <c r="D61" s="285"/>
      <c r="K61" s="1084"/>
      <c r="L61" s="1560"/>
      <c r="M61" s="1560"/>
      <c r="N61" s="1084"/>
      <c r="O61" s="1084"/>
      <c r="P61" s="1084"/>
      <c r="Q61" s="1084"/>
      <c r="R61" s="1560"/>
      <c r="S61" s="1084"/>
      <c r="T61" s="1084"/>
      <c r="U61" s="478"/>
      <c r="V61" s="1084"/>
      <c r="W61" s="1084"/>
      <c r="X61" s="1084"/>
      <c r="Y61" s="1084"/>
      <c r="Z61" s="1084"/>
      <c r="AA61" s="1556"/>
      <c r="AB61" s="500"/>
      <c r="AC61" s="500"/>
      <c r="AD61" s="500"/>
      <c r="AE61" s="500"/>
      <c r="AF61" s="1565">
        <v>11</v>
      </c>
    </row>
    <row r="62" spans="1:32" s="1565" customFormat="1" ht="11.45" customHeight="1">
      <c r="A62" s="914"/>
      <c r="B62" s="1560"/>
      <c r="C62" s="1560"/>
      <c r="D62" s="285"/>
      <c r="K62" s="1084"/>
      <c r="L62" s="1560"/>
      <c r="M62" s="1560"/>
      <c r="N62" s="1084"/>
      <c r="O62" s="1084"/>
      <c r="P62" s="1084"/>
      <c r="Q62" s="1084"/>
      <c r="R62" s="1560"/>
      <c r="S62" s="1084"/>
      <c r="T62" s="1084"/>
      <c r="U62" s="478"/>
      <c r="V62" s="1084"/>
      <c r="W62" s="1084"/>
      <c r="X62" s="1084"/>
      <c r="Y62" s="1084"/>
      <c r="Z62" s="1084"/>
      <c r="AA62" s="1556"/>
      <c r="AB62" s="500"/>
      <c r="AC62" s="500"/>
      <c r="AD62" s="500"/>
      <c r="AE62" s="500"/>
      <c r="AF62" s="1565">
        <v>11</v>
      </c>
    </row>
    <row r="63" spans="1:32" s="1565" customFormat="1" ht="11.45" customHeight="1">
      <c r="A63" s="914"/>
      <c r="B63" s="1560"/>
      <c r="C63" s="1560"/>
      <c r="D63" s="285"/>
      <c r="K63" s="1084"/>
      <c r="L63" s="1560"/>
      <c r="M63" s="1560"/>
      <c r="N63" s="1084"/>
      <c r="O63" s="1084"/>
      <c r="P63" s="1084"/>
      <c r="Q63" s="1084"/>
      <c r="R63" s="1560"/>
      <c r="S63" s="1084"/>
      <c r="T63" s="1084"/>
      <c r="U63" s="478"/>
      <c r="V63" s="1084"/>
      <c r="W63" s="1084"/>
      <c r="X63" s="1084"/>
      <c r="Y63" s="1084"/>
      <c r="Z63" s="1084"/>
      <c r="AA63" s="1556"/>
      <c r="AB63" s="500"/>
      <c r="AC63" s="500"/>
      <c r="AD63" s="500"/>
      <c r="AE63" s="500"/>
      <c r="AF63" s="1565">
        <v>11</v>
      </c>
    </row>
    <row r="64" spans="1:32" s="1565" customFormat="1" ht="11.45" customHeight="1">
      <c r="A64" s="914"/>
      <c r="B64" s="1560"/>
      <c r="C64" s="1560"/>
      <c r="D64" s="285"/>
      <c r="K64" s="1084"/>
      <c r="L64" s="1560"/>
      <c r="M64" s="1560"/>
      <c r="N64" s="1084"/>
      <c r="O64" s="1084"/>
      <c r="P64" s="1084"/>
      <c r="Q64" s="1084"/>
      <c r="R64" s="1560"/>
      <c r="S64" s="1084"/>
      <c r="T64" s="1084"/>
      <c r="U64" s="478"/>
      <c r="V64" s="1084"/>
      <c r="W64" s="1084"/>
      <c r="X64" s="1084"/>
      <c r="Y64" s="1084"/>
      <c r="Z64" s="1084"/>
      <c r="AA64" s="1556"/>
      <c r="AB64" s="500"/>
      <c r="AC64" s="500"/>
      <c r="AD64" s="500"/>
      <c r="AE64" s="500"/>
      <c r="AF64" s="1565">
        <v>11</v>
      </c>
    </row>
    <row r="65" spans="1:32" s="1565" customFormat="1" ht="11.45" customHeight="1">
      <c r="A65" s="914"/>
      <c r="B65" s="1560"/>
      <c r="C65" s="1560"/>
      <c r="D65" s="285"/>
      <c r="K65" s="1084"/>
      <c r="L65" s="1560"/>
      <c r="M65" s="1560"/>
      <c r="N65" s="1084"/>
      <c r="O65" s="1084"/>
      <c r="P65" s="1084"/>
      <c r="Q65" s="1084"/>
      <c r="R65" s="1560"/>
      <c r="S65" s="1084"/>
      <c r="T65" s="1084"/>
      <c r="U65" s="478"/>
      <c r="V65" s="1084"/>
      <c r="W65" s="1084"/>
      <c r="X65" s="1084"/>
      <c r="Y65" s="1084"/>
      <c r="Z65" s="1084"/>
      <c r="AA65" s="1556"/>
      <c r="AB65" s="500"/>
      <c r="AC65" s="500"/>
      <c r="AD65" s="500"/>
      <c r="AE65" s="500"/>
      <c r="AF65" s="1565">
        <v>11</v>
      </c>
    </row>
    <row r="66" spans="1:32" s="1565" customFormat="1" ht="11.45" customHeight="1">
      <c r="A66" s="914"/>
      <c r="B66" s="1560"/>
      <c r="C66" s="1560"/>
      <c r="D66" s="285"/>
      <c r="K66" s="1084"/>
      <c r="L66" s="1560"/>
      <c r="M66" s="1560"/>
      <c r="N66" s="1084"/>
      <c r="O66" s="1084"/>
      <c r="P66" s="1084"/>
      <c r="Q66" s="1084"/>
      <c r="R66" s="1560"/>
      <c r="S66" s="1084"/>
      <c r="T66" s="1084"/>
      <c r="U66" s="478"/>
      <c r="V66" s="1084"/>
      <c r="W66" s="1084"/>
      <c r="X66" s="1084"/>
      <c r="Y66" s="1084"/>
      <c r="Z66" s="1084"/>
      <c r="AA66" s="1556"/>
      <c r="AB66" s="500"/>
      <c r="AC66" s="500"/>
      <c r="AD66" s="500"/>
      <c r="AE66" s="500"/>
      <c r="AF66" s="1565">
        <v>11</v>
      </c>
    </row>
    <row r="67" spans="1:32" s="1565" customFormat="1" ht="11.45" customHeight="1">
      <c r="A67" s="914"/>
      <c r="B67" s="1560"/>
      <c r="C67" s="1560"/>
      <c r="D67" s="285"/>
      <c r="K67" s="1084"/>
      <c r="L67" s="1560"/>
      <c r="M67" s="1560"/>
      <c r="N67" s="1084"/>
      <c r="O67" s="1084"/>
      <c r="P67" s="1084"/>
      <c r="Q67" s="1084"/>
      <c r="R67" s="1560"/>
      <c r="S67" s="1084"/>
      <c r="T67" s="1084"/>
      <c r="U67" s="478"/>
      <c r="V67" s="1084"/>
      <c r="W67" s="1084"/>
      <c r="X67" s="1084"/>
      <c r="Y67" s="1084"/>
      <c r="Z67" s="1084"/>
      <c r="AA67" s="1556"/>
      <c r="AB67" s="500"/>
      <c r="AC67" s="500"/>
      <c r="AD67" s="500"/>
      <c r="AE67" s="500"/>
      <c r="AF67" s="1565">
        <v>11</v>
      </c>
    </row>
    <row r="68" spans="1:32" s="1565" customFormat="1" ht="11.45" customHeight="1">
      <c r="A68" s="914"/>
      <c r="B68" s="1560"/>
      <c r="C68" s="1560"/>
      <c r="D68" s="285"/>
      <c r="K68" s="1084"/>
      <c r="L68" s="1560"/>
      <c r="M68" s="1560"/>
      <c r="N68" s="1084"/>
      <c r="O68" s="1084"/>
      <c r="P68" s="1084"/>
      <c r="Q68" s="1084"/>
      <c r="R68" s="1560"/>
      <c r="S68" s="1084"/>
      <c r="T68" s="1084"/>
      <c r="U68" s="478"/>
      <c r="V68" s="1084"/>
      <c r="W68" s="1084"/>
      <c r="X68" s="1084"/>
      <c r="Y68" s="1084"/>
      <c r="Z68" s="1084"/>
      <c r="AA68" s="1556"/>
      <c r="AB68" s="500"/>
      <c r="AC68" s="500"/>
      <c r="AD68" s="500"/>
      <c r="AE68" s="500"/>
      <c r="AF68" s="1565">
        <v>11</v>
      </c>
    </row>
    <row r="69" spans="1:32" s="1565" customFormat="1" ht="11.45" customHeight="1">
      <c r="A69" s="914"/>
      <c r="B69" s="1560"/>
      <c r="C69" s="1560"/>
      <c r="D69" s="285"/>
      <c r="K69" s="1084"/>
      <c r="L69" s="1560"/>
      <c r="M69" s="1560"/>
      <c r="N69" s="1084"/>
      <c r="O69" s="1084"/>
      <c r="P69" s="1084"/>
      <c r="Q69" s="1084"/>
      <c r="R69" s="1560"/>
      <c r="S69" s="1084"/>
      <c r="T69" s="1084"/>
      <c r="U69" s="478"/>
      <c r="V69" s="1084"/>
      <c r="W69" s="1084"/>
      <c r="X69" s="1084"/>
      <c r="Y69" s="1084"/>
      <c r="Z69" s="1084"/>
      <c r="AA69" s="1556"/>
      <c r="AB69" s="500"/>
      <c r="AC69" s="500"/>
      <c r="AD69" s="500"/>
      <c r="AE69" s="500"/>
      <c r="AF69" s="1565">
        <v>11</v>
      </c>
    </row>
    <row r="70" spans="1:32" s="1565" customFormat="1" ht="11.45" customHeight="1">
      <c r="A70" s="914"/>
      <c r="B70" s="1560"/>
      <c r="C70" s="1560"/>
      <c r="D70" s="285"/>
      <c r="K70" s="1084"/>
      <c r="L70" s="1560"/>
      <c r="M70" s="1560"/>
      <c r="N70" s="1084"/>
      <c r="O70" s="1084"/>
      <c r="P70" s="1084"/>
      <c r="Q70" s="1084"/>
      <c r="R70" s="1560"/>
      <c r="S70" s="1084"/>
      <c r="T70" s="1084"/>
      <c r="U70" s="478"/>
      <c r="V70" s="1084"/>
      <c r="W70" s="1084"/>
      <c r="X70" s="1084"/>
      <c r="Y70" s="1084"/>
      <c r="Z70" s="1084"/>
      <c r="AA70" s="1556"/>
      <c r="AB70" s="500"/>
      <c r="AC70" s="500"/>
      <c r="AD70" s="500"/>
      <c r="AE70" s="500"/>
      <c r="AF70" s="1565">
        <v>11</v>
      </c>
    </row>
    <row r="71" spans="1:32" s="1565" customFormat="1" ht="11.45" customHeight="1">
      <c r="A71" s="914"/>
      <c r="B71" s="1560"/>
      <c r="C71" s="1560"/>
      <c r="D71" s="285"/>
      <c r="K71" s="1084"/>
      <c r="L71" s="1560"/>
      <c r="M71" s="1560"/>
      <c r="N71" s="1084"/>
      <c r="O71" s="1084"/>
      <c r="P71" s="1084"/>
      <c r="Q71" s="1084"/>
      <c r="R71" s="1560"/>
      <c r="S71" s="1084"/>
      <c r="T71" s="1084"/>
      <c r="U71" s="478"/>
      <c r="V71" s="1084"/>
      <c r="W71" s="1084"/>
      <c r="X71" s="1084"/>
      <c r="Y71" s="1084"/>
      <c r="Z71" s="1084"/>
      <c r="AA71" s="1556"/>
      <c r="AB71" s="500"/>
      <c r="AC71" s="500"/>
      <c r="AD71" s="500"/>
      <c r="AE71" s="500"/>
      <c r="AF71" s="1565">
        <v>11</v>
      </c>
    </row>
    <row r="72" spans="1:32" s="1565" customFormat="1" ht="11.45" customHeight="1">
      <c r="A72" s="914"/>
      <c r="B72" s="1560"/>
      <c r="C72" s="1560"/>
      <c r="D72" s="285"/>
      <c r="K72" s="1084"/>
      <c r="L72" s="1560"/>
      <c r="M72" s="1560"/>
      <c r="N72" s="1084"/>
      <c r="O72" s="1084"/>
      <c r="P72" s="1084"/>
      <c r="Q72" s="1084"/>
      <c r="R72" s="1560"/>
      <c r="S72" s="1084"/>
      <c r="T72" s="1084"/>
      <c r="U72" s="478"/>
      <c r="V72" s="1084"/>
      <c r="W72" s="1084"/>
      <c r="X72" s="1084"/>
      <c r="Y72" s="1084"/>
      <c r="Z72" s="1084"/>
      <c r="AA72" s="1556"/>
      <c r="AB72" s="500"/>
      <c r="AC72" s="500"/>
      <c r="AD72" s="500"/>
      <c r="AE72" s="500"/>
      <c r="AF72" s="1565">
        <v>11</v>
      </c>
    </row>
    <row r="73" spans="1:32" s="1565" customFormat="1" ht="11.45" customHeight="1">
      <c r="A73" s="914"/>
      <c r="B73" s="1560"/>
      <c r="C73" s="1560"/>
      <c r="D73" s="285"/>
      <c r="K73" s="1084"/>
      <c r="L73" s="1560"/>
      <c r="M73" s="1560"/>
      <c r="N73" s="1084"/>
      <c r="O73" s="1084"/>
      <c r="P73" s="1084"/>
      <c r="Q73" s="1084"/>
      <c r="R73" s="1560"/>
      <c r="S73" s="1084"/>
      <c r="T73" s="1084"/>
      <c r="U73" s="478"/>
      <c r="V73" s="1084"/>
      <c r="W73" s="1084"/>
      <c r="X73" s="1084"/>
      <c r="Y73" s="1084"/>
      <c r="Z73" s="1084"/>
      <c r="AA73" s="1556"/>
      <c r="AB73" s="500"/>
      <c r="AC73" s="500"/>
      <c r="AD73" s="500"/>
      <c r="AE73" s="500"/>
      <c r="AF73" s="1565">
        <v>11</v>
      </c>
    </row>
    <row r="74" spans="1:32" s="1565" customFormat="1" ht="11.45" customHeight="1">
      <c r="A74" s="914"/>
      <c r="B74" s="1560"/>
      <c r="C74" s="1560"/>
      <c r="D74" s="285"/>
      <c r="K74" s="1084"/>
      <c r="L74" s="1560"/>
      <c r="M74" s="1560"/>
      <c r="N74" s="1084"/>
      <c r="O74" s="1084"/>
      <c r="P74" s="1084"/>
      <c r="Q74" s="1084"/>
      <c r="R74" s="1560"/>
      <c r="S74" s="1084"/>
      <c r="T74" s="1084"/>
      <c r="U74" s="478"/>
      <c r="V74" s="1084"/>
      <c r="W74" s="1084"/>
      <c r="X74" s="1084"/>
      <c r="Y74" s="1084"/>
      <c r="Z74" s="1084"/>
      <c r="AA74" s="1556"/>
      <c r="AB74" s="500"/>
      <c r="AC74" s="500"/>
      <c r="AD74" s="500"/>
      <c r="AE74" s="500"/>
      <c r="AF74" s="1565">
        <v>11</v>
      </c>
    </row>
    <row r="75" spans="1:32" s="1565" customFormat="1" ht="11.45" customHeight="1">
      <c r="A75" s="914"/>
      <c r="B75" s="1560"/>
      <c r="C75" s="1560"/>
      <c r="D75" s="285"/>
      <c r="K75" s="1084"/>
      <c r="L75" s="1560"/>
      <c r="M75" s="1560"/>
      <c r="N75" s="1084"/>
      <c r="O75" s="1084"/>
      <c r="P75" s="1084"/>
      <c r="Q75" s="1084"/>
      <c r="R75" s="1560"/>
      <c r="S75" s="1084"/>
      <c r="T75" s="1084"/>
      <c r="U75" s="478"/>
      <c r="V75" s="1084"/>
      <c r="W75" s="1084"/>
      <c r="X75" s="1084"/>
      <c r="Y75" s="1084"/>
      <c r="Z75" s="1084"/>
      <c r="AA75" s="1556"/>
      <c r="AB75" s="500"/>
      <c r="AC75" s="500"/>
      <c r="AD75" s="500"/>
      <c r="AE75" s="500"/>
      <c r="AF75" s="1565">
        <v>11</v>
      </c>
    </row>
    <row r="76" spans="1:32" s="1565" customFormat="1" ht="11.45" customHeight="1">
      <c r="A76" s="914"/>
      <c r="B76" s="1560"/>
      <c r="C76" s="1560"/>
      <c r="D76" s="285"/>
      <c r="K76" s="1084"/>
      <c r="L76" s="1560"/>
      <c r="M76" s="1560"/>
      <c r="N76" s="1084"/>
      <c r="O76" s="1084"/>
      <c r="P76" s="1084"/>
      <c r="Q76" s="1084"/>
      <c r="R76" s="1560"/>
      <c r="S76" s="1084"/>
      <c r="T76" s="1084"/>
      <c r="U76" s="478"/>
      <c r="V76" s="1084"/>
      <c r="W76" s="1084"/>
      <c r="X76" s="1084"/>
      <c r="Y76" s="1084"/>
      <c r="Z76" s="1084"/>
      <c r="AA76" s="1556"/>
      <c r="AB76" s="500"/>
      <c r="AC76" s="500"/>
      <c r="AD76" s="500"/>
      <c r="AE76" s="500"/>
      <c r="AF76" s="1565">
        <v>11</v>
      </c>
    </row>
    <row r="77" spans="1:32" s="1565" customFormat="1" ht="11.45" customHeight="1">
      <c r="A77" s="914"/>
      <c r="B77" s="1560"/>
      <c r="C77" s="1560"/>
      <c r="D77" s="285"/>
      <c r="K77" s="1084"/>
      <c r="L77" s="1560"/>
      <c r="M77" s="1560"/>
      <c r="N77" s="1084"/>
      <c r="O77" s="1084"/>
      <c r="P77" s="1084"/>
      <c r="Q77" s="1084"/>
      <c r="R77" s="1560"/>
      <c r="S77" s="1084"/>
      <c r="T77" s="1084"/>
      <c r="U77" s="478"/>
      <c r="V77" s="1084"/>
      <c r="W77" s="1084"/>
      <c r="X77" s="1084"/>
      <c r="Y77" s="1084"/>
      <c r="Z77" s="1084"/>
      <c r="AA77" s="1556"/>
      <c r="AB77" s="500"/>
      <c r="AC77" s="500"/>
      <c r="AD77" s="500"/>
      <c r="AE77" s="500"/>
      <c r="AF77" s="1565">
        <v>11</v>
      </c>
    </row>
    <row r="78" spans="1:32" s="1565" customFormat="1" ht="11.45" customHeight="1">
      <c r="A78" s="914"/>
      <c r="B78" s="1560"/>
      <c r="C78" s="1560"/>
      <c r="D78" s="285"/>
      <c r="K78" s="1084"/>
      <c r="L78" s="1560"/>
      <c r="M78" s="1560"/>
      <c r="N78" s="1084"/>
      <c r="O78" s="1084"/>
      <c r="P78" s="1084"/>
      <c r="Q78" s="1084"/>
      <c r="R78" s="1560"/>
      <c r="S78" s="1084"/>
      <c r="T78" s="1084"/>
      <c r="U78" s="478"/>
      <c r="V78" s="1084"/>
      <c r="W78" s="1084"/>
      <c r="X78" s="1084"/>
      <c r="Y78" s="1084"/>
      <c r="Z78" s="1084"/>
      <c r="AA78" s="1556"/>
      <c r="AB78" s="500"/>
      <c r="AC78" s="500"/>
      <c r="AD78" s="500"/>
      <c r="AE78" s="500"/>
      <c r="AF78" s="1565">
        <v>11</v>
      </c>
    </row>
    <row r="79" spans="1:32" s="1565" customFormat="1" ht="11.45" customHeight="1">
      <c r="A79" s="914"/>
      <c r="B79" s="1560"/>
      <c r="C79" s="1560"/>
      <c r="D79" s="285"/>
      <c r="K79" s="1084"/>
      <c r="L79" s="1560"/>
      <c r="M79" s="1560"/>
      <c r="N79" s="1084"/>
      <c r="O79" s="1084"/>
      <c r="P79" s="1084"/>
      <c r="Q79" s="1084"/>
      <c r="R79" s="1560"/>
      <c r="S79" s="1084"/>
      <c r="T79" s="1084"/>
      <c r="U79" s="478"/>
      <c r="V79" s="1084"/>
      <c r="W79" s="1084"/>
      <c r="X79" s="1084"/>
      <c r="Y79" s="1084"/>
      <c r="Z79" s="1084"/>
      <c r="AA79" s="1556"/>
      <c r="AB79" s="500"/>
      <c r="AC79" s="500"/>
      <c r="AD79" s="500"/>
      <c r="AE79" s="500"/>
      <c r="AF79" s="1565">
        <v>11</v>
      </c>
    </row>
    <row r="80" spans="1:32" s="1565" customFormat="1" ht="11.45" customHeight="1">
      <c r="A80" s="914"/>
      <c r="B80" s="1560"/>
      <c r="C80" s="1560"/>
      <c r="D80" s="285"/>
      <c r="K80" s="1084"/>
      <c r="L80" s="1560"/>
      <c r="M80" s="1560"/>
      <c r="N80" s="1084"/>
      <c r="O80" s="1084"/>
      <c r="P80" s="1084"/>
      <c r="Q80" s="1084"/>
      <c r="R80" s="1560"/>
      <c r="S80" s="1084"/>
      <c r="T80" s="1084"/>
      <c r="U80" s="478"/>
      <c r="V80" s="1084"/>
      <c r="W80" s="1084"/>
      <c r="X80" s="1084"/>
      <c r="Y80" s="1084"/>
      <c r="Z80" s="1084"/>
      <c r="AA80" s="1556"/>
      <c r="AB80" s="500"/>
      <c r="AC80" s="500"/>
      <c r="AD80" s="500"/>
      <c r="AE80" s="500"/>
      <c r="AF80" s="1565">
        <v>11</v>
      </c>
    </row>
    <row r="81" spans="1:32" s="1565" customFormat="1" ht="11.45" customHeight="1">
      <c r="A81" s="914"/>
      <c r="B81" s="1560"/>
      <c r="C81" s="1560"/>
      <c r="D81" s="285"/>
      <c r="K81" s="1084"/>
      <c r="L81" s="1560"/>
      <c r="M81" s="1560"/>
      <c r="N81" s="1084"/>
      <c r="O81" s="1084"/>
      <c r="P81" s="1084"/>
      <c r="Q81" s="1084"/>
      <c r="R81" s="1560"/>
      <c r="S81" s="1084"/>
      <c r="T81" s="1084"/>
      <c r="U81" s="478"/>
      <c r="V81" s="1084"/>
      <c r="W81" s="1084"/>
      <c r="X81" s="1084"/>
      <c r="Y81" s="1084"/>
      <c r="Z81" s="1084"/>
      <c r="AA81" s="1556"/>
      <c r="AB81" s="500"/>
      <c r="AC81" s="500"/>
      <c r="AD81" s="500"/>
      <c r="AE81" s="500"/>
      <c r="AF81" s="1565">
        <v>11</v>
      </c>
    </row>
    <row r="82" spans="1:32" s="1565" customFormat="1" ht="11.45" customHeight="1">
      <c r="A82" s="914"/>
      <c r="B82" s="1560"/>
      <c r="C82" s="1560"/>
      <c r="D82" s="285"/>
      <c r="K82" s="1084"/>
      <c r="L82" s="1560"/>
      <c r="M82" s="1560"/>
      <c r="N82" s="1084"/>
      <c r="O82" s="1084"/>
      <c r="P82" s="1084"/>
      <c r="Q82" s="1084"/>
      <c r="R82" s="1560"/>
      <c r="S82" s="1084"/>
      <c r="T82" s="1084"/>
      <c r="U82" s="478"/>
      <c r="V82" s="1084"/>
      <c r="W82" s="1084"/>
      <c r="X82" s="1084"/>
      <c r="Y82" s="1084"/>
      <c r="Z82" s="1084"/>
      <c r="AA82" s="1556"/>
      <c r="AB82" s="500"/>
      <c r="AC82" s="500"/>
      <c r="AD82" s="500"/>
      <c r="AE82" s="500"/>
      <c r="AF82" s="1565">
        <v>11</v>
      </c>
    </row>
    <row r="83" spans="1:32" s="1565" customFormat="1" ht="11.45" customHeight="1">
      <c r="A83" s="914"/>
      <c r="B83" s="1560"/>
      <c r="C83" s="1560"/>
      <c r="D83" s="285"/>
      <c r="K83" s="1084"/>
      <c r="L83" s="1560"/>
      <c r="M83" s="1560"/>
      <c r="N83" s="1084"/>
      <c r="O83" s="1084"/>
      <c r="P83" s="1084"/>
      <c r="Q83" s="1084"/>
      <c r="R83" s="1560"/>
      <c r="S83" s="1084"/>
      <c r="T83" s="1084"/>
      <c r="U83" s="478"/>
      <c r="V83" s="1084"/>
      <c r="W83" s="1084"/>
      <c r="X83" s="1084"/>
      <c r="Y83" s="1084"/>
      <c r="Z83" s="1084"/>
      <c r="AA83" s="1556"/>
      <c r="AB83" s="500"/>
      <c r="AC83" s="500"/>
      <c r="AD83" s="500"/>
      <c r="AE83" s="500"/>
      <c r="AF83" s="1565">
        <v>11</v>
      </c>
    </row>
    <row r="84" spans="1:32" s="1565" customFormat="1" ht="11.45" customHeight="1">
      <c r="A84" s="914"/>
      <c r="B84" s="1560"/>
      <c r="C84" s="1560"/>
      <c r="D84" s="285"/>
      <c r="K84" s="1084"/>
      <c r="L84" s="1560"/>
      <c r="M84" s="1560"/>
      <c r="N84" s="1084"/>
      <c r="O84" s="1084"/>
      <c r="P84" s="1084"/>
      <c r="Q84" s="1084"/>
      <c r="R84" s="1560"/>
      <c r="S84" s="1084"/>
      <c r="T84" s="1084"/>
      <c r="U84" s="478"/>
      <c r="V84" s="1084"/>
      <c r="W84" s="1084"/>
      <c r="X84" s="1084"/>
      <c r="Y84" s="1084"/>
      <c r="Z84" s="1084"/>
      <c r="AA84" s="1556"/>
      <c r="AB84" s="500"/>
      <c r="AC84" s="500"/>
      <c r="AD84" s="500"/>
      <c r="AE84" s="500"/>
      <c r="AF84" s="1565">
        <v>11</v>
      </c>
    </row>
    <row r="85" spans="1:32" s="1565" customFormat="1" ht="11.45" customHeight="1">
      <c r="A85" s="914"/>
      <c r="B85" s="1560"/>
      <c r="C85" s="1560"/>
      <c r="D85" s="285"/>
      <c r="K85" s="1084"/>
      <c r="L85" s="1560"/>
      <c r="M85" s="1560"/>
      <c r="N85" s="1084"/>
      <c r="O85" s="1084"/>
      <c r="P85" s="1084"/>
      <c r="Q85" s="1084"/>
      <c r="R85" s="1560"/>
      <c r="S85" s="1084"/>
      <c r="T85" s="1084"/>
      <c r="U85" s="478"/>
      <c r="V85" s="1084"/>
      <c r="W85" s="1084"/>
      <c r="X85" s="1084"/>
      <c r="Y85" s="1084"/>
      <c r="Z85" s="1084"/>
      <c r="AA85" s="1556"/>
      <c r="AB85" s="500"/>
      <c r="AC85" s="500"/>
      <c r="AD85" s="500"/>
      <c r="AE85" s="500"/>
      <c r="AF85" s="1565">
        <v>11</v>
      </c>
    </row>
    <row r="86" spans="1:32" s="1565" customFormat="1" ht="11.45" customHeight="1">
      <c r="A86" s="914"/>
      <c r="B86" s="1560"/>
      <c r="C86" s="1560"/>
      <c r="D86" s="285"/>
      <c r="K86" s="1084"/>
      <c r="L86" s="1560"/>
      <c r="M86" s="1560"/>
      <c r="N86" s="1084"/>
      <c r="O86" s="1084"/>
      <c r="P86" s="1084"/>
      <c r="Q86" s="1084"/>
      <c r="R86" s="1560"/>
      <c r="S86" s="1084"/>
      <c r="T86" s="1084"/>
      <c r="U86" s="478"/>
      <c r="V86" s="1084"/>
      <c r="W86" s="1084"/>
      <c r="X86" s="1084"/>
      <c r="Y86" s="1084"/>
      <c r="Z86" s="1084"/>
      <c r="AA86" s="1556"/>
      <c r="AB86" s="500"/>
      <c r="AC86" s="500"/>
      <c r="AD86" s="500"/>
      <c r="AE86" s="500"/>
      <c r="AF86" s="1565">
        <v>11</v>
      </c>
    </row>
    <row r="87" spans="1:32" s="1565" customFormat="1" ht="11.45" customHeight="1">
      <c r="A87" s="914"/>
      <c r="B87" s="1560"/>
      <c r="C87" s="1560"/>
      <c r="D87" s="285"/>
      <c r="K87" s="1084"/>
      <c r="L87" s="1560"/>
      <c r="M87" s="1560"/>
      <c r="N87" s="1084"/>
      <c r="O87" s="1084"/>
      <c r="P87" s="1084"/>
      <c r="Q87" s="1084"/>
      <c r="R87" s="1560"/>
      <c r="S87" s="1084"/>
      <c r="T87" s="1084"/>
      <c r="U87" s="478"/>
      <c r="V87" s="1084"/>
      <c r="W87" s="1084"/>
      <c r="X87" s="1084"/>
      <c r="Y87" s="1084"/>
      <c r="Z87" s="1084"/>
      <c r="AA87" s="1556"/>
      <c r="AB87" s="500"/>
      <c r="AC87" s="500"/>
      <c r="AD87" s="500"/>
      <c r="AE87" s="500"/>
      <c r="AF87" s="1565">
        <v>11</v>
      </c>
    </row>
    <row r="88" spans="1:32" s="1565" customFormat="1" ht="11.45" customHeight="1">
      <c r="A88" s="914"/>
      <c r="B88" s="1560"/>
      <c r="C88" s="1560"/>
      <c r="D88" s="285"/>
      <c r="K88" s="1084"/>
      <c r="L88" s="1560"/>
      <c r="M88" s="1560"/>
      <c r="N88" s="1084"/>
      <c r="O88" s="1084"/>
      <c r="P88" s="1084"/>
      <c r="Q88" s="1084"/>
      <c r="R88" s="1560"/>
      <c r="S88" s="1084"/>
      <c r="T88" s="1084"/>
      <c r="U88" s="478"/>
      <c r="V88" s="1084"/>
      <c r="W88" s="1084"/>
      <c r="X88" s="1084"/>
      <c r="Y88" s="1084"/>
      <c r="Z88" s="1084"/>
      <c r="AA88" s="1556"/>
      <c r="AB88" s="500"/>
      <c r="AC88" s="500"/>
      <c r="AD88" s="500"/>
      <c r="AE88" s="500"/>
      <c r="AF88" s="1565">
        <v>11</v>
      </c>
    </row>
    <row r="89" spans="1:32" s="1565" customFormat="1" ht="11.45" customHeight="1">
      <c r="A89" s="914"/>
      <c r="B89" s="1560"/>
      <c r="C89" s="1560"/>
      <c r="D89" s="285"/>
      <c r="K89" s="1084"/>
      <c r="L89" s="1560"/>
      <c r="M89" s="1560"/>
      <c r="N89" s="1084"/>
      <c r="O89" s="1084"/>
      <c r="P89" s="1084"/>
      <c r="Q89" s="1084"/>
      <c r="R89" s="1560"/>
      <c r="S89" s="1084"/>
      <c r="T89" s="1084"/>
      <c r="U89" s="478"/>
      <c r="V89" s="1084"/>
      <c r="W89" s="1084"/>
      <c r="X89" s="1084"/>
      <c r="Y89" s="1084"/>
      <c r="Z89" s="1084"/>
      <c r="AA89" s="1556"/>
      <c r="AB89" s="500"/>
      <c r="AC89" s="500"/>
      <c r="AD89" s="500"/>
      <c r="AE89" s="500"/>
      <c r="AF89" s="1565">
        <v>11</v>
      </c>
    </row>
    <row r="90" spans="1:32" s="1565" customFormat="1" ht="11.45" customHeight="1">
      <c r="A90" s="914"/>
      <c r="B90" s="1560"/>
      <c r="C90" s="1560"/>
      <c r="D90" s="285"/>
      <c r="K90" s="1084"/>
      <c r="L90" s="1560"/>
      <c r="M90" s="1560"/>
      <c r="N90" s="1084"/>
      <c r="O90" s="1084"/>
      <c r="P90" s="1084"/>
      <c r="Q90" s="1084"/>
      <c r="R90" s="1560"/>
      <c r="S90" s="1084"/>
      <c r="T90" s="1084"/>
      <c r="U90" s="478"/>
      <c r="V90" s="1084"/>
      <c r="W90" s="1084"/>
      <c r="X90" s="1084"/>
      <c r="Y90" s="1084"/>
      <c r="Z90" s="1084"/>
      <c r="AA90" s="1556"/>
      <c r="AB90" s="500"/>
      <c r="AC90" s="500"/>
      <c r="AD90" s="500"/>
      <c r="AE90" s="500"/>
      <c r="AF90" s="1565">
        <v>11</v>
      </c>
    </row>
    <row r="91" spans="1:32" s="1565" customFormat="1" ht="11.45" customHeight="1">
      <c r="A91" s="914"/>
      <c r="B91" s="1560"/>
      <c r="C91" s="1560"/>
      <c r="D91" s="285"/>
      <c r="K91" s="1084"/>
      <c r="L91" s="1560"/>
      <c r="M91" s="1560"/>
      <c r="N91" s="1084"/>
      <c r="O91" s="1084"/>
      <c r="P91" s="1084"/>
      <c r="Q91" s="1084"/>
      <c r="R91" s="1560"/>
      <c r="S91" s="1084"/>
      <c r="T91" s="1084"/>
      <c r="U91" s="478"/>
      <c r="V91" s="1084"/>
      <c r="W91" s="1084"/>
      <c r="X91" s="1084"/>
      <c r="Y91" s="1084"/>
      <c r="Z91" s="1084"/>
      <c r="AA91" s="1556"/>
      <c r="AB91" s="500"/>
      <c r="AC91" s="500"/>
      <c r="AD91" s="500"/>
      <c r="AE91" s="500"/>
      <c r="AF91" s="1565">
        <v>11</v>
      </c>
    </row>
    <row r="92" spans="1:32" s="1565" customFormat="1" ht="11.45" customHeight="1">
      <c r="A92" s="914"/>
      <c r="B92" s="1560"/>
      <c r="C92" s="1560"/>
      <c r="D92" s="285"/>
      <c r="K92" s="1084"/>
      <c r="L92" s="1560"/>
      <c r="M92" s="1560"/>
      <c r="N92" s="1084"/>
      <c r="O92" s="1084"/>
      <c r="P92" s="1084"/>
      <c r="Q92" s="1084"/>
      <c r="R92" s="1560"/>
      <c r="S92" s="1084"/>
      <c r="T92" s="1084"/>
      <c r="U92" s="478"/>
      <c r="V92" s="1084"/>
      <c r="W92" s="1084"/>
      <c r="X92" s="1084"/>
      <c r="Y92" s="1084"/>
      <c r="Z92" s="1084"/>
      <c r="AA92" s="1556"/>
      <c r="AB92" s="500"/>
      <c r="AC92" s="500"/>
      <c r="AD92" s="500"/>
      <c r="AE92" s="500"/>
      <c r="AF92" s="1565">
        <v>11</v>
      </c>
    </row>
    <row r="93" spans="1:32" s="1565" customFormat="1" ht="11.45" customHeight="1">
      <c r="A93" s="914"/>
      <c r="B93" s="1560"/>
      <c r="C93" s="1560"/>
      <c r="D93" s="285"/>
      <c r="K93" s="1084"/>
      <c r="L93" s="1560"/>
      <c r="M93" s="1560"/>
      <c r="N93" s="1084"/>
      <c r="O93" s="1084"/>
      <c r="P93" s="1084"/>
      <c r="Q93" s="1084"/>
      <c r="R93" s="1560"/>
      <c r="S93" s="1084"/>
      <c r="T93" s="1084"/>
      <c r="U93" s="478"/>
      <c r="V93" s="1084"/>
      <c r="W93" s="1084"/>
      <c r="X93" s="1084"/>
      <c r="Y93" s="1084"/>
      <c r="Z93" s="1084"/>
      <c r="AA93" s="1556"/>
      <c r="AB93" s="500"/>
      <c r="AC93" s="500"/>
      <c r="AD93" s="500"/>
      <c r="AE93" s="500"/>
      <c r="AF93" s="1565">
        <v>11</v>
      </c>
    </row>
    <row r="94" spans="1:32" s="1565" customFormat="1" ht="11.45" customHeight="1">
      <c r="A94" s="914"/>
      <c r="B94" s="1560"/>
      <c r="C94" s="1560"/>
      <c r="D94" s="285"/>
      <c r="K94" s="1084"/>
      <c r="L94" s="1560"/>
      <c r="M94" s="1560"/>
      <c r="N94" s="1084"/>
      <c r="O94" s="1084"/>
      <c r="P94" s="1084"/>
      <c r="Q94" s="1084"/>
      <c r="R94" s="1560"/>
      <c r="S94" s="1084"/>
      <c r="T94" s="1084"/>
      <c r="U94" s="478"/>
      <c r="V94" s="1084"/>
      <c r="W94" s="1084"/>
      <c r="X94" s="1084"/>
      <c r="Y94" s="1084"/>
      <c r="Z94" s="1084"/>
      <c r="AA94" s="1556"/>
      <c r="AB94" s="500"/>
      <c r="AC94" s="500"/>
      <c r="AD94" s="500"/>
      <c r="AE94" s="500"/>
      <c r="AF94" s="1565">
        <v>11</v>
      </c>
    </row>
    <row r="95" spans="1:32" s="1565" customFormat="1" ht="11.45" customHeight="1">
      <c r="A95" s="914"/>
      <c r="B95" s="1560"/>
      <c r="C95" s="1560"/>
      <c r="D95" s="285"/>
      <c r="K95" s="1084"/>
      <c r="L95" s="1560"/>
      <c r="M95" s="1560"/>
      <c r="N95" s="1084"/>
      <c r="O95" s="1084"/>
      <c r="P95" s="1084"/>
      <c r="Q95" s="1084"/>
      <c r="R95" s="1560"/>
      <c r="S95" s="1084"/>
      <c r="T95" s="1084"/>
      <c r="U95" s="478"/>
      <c r="V95" s="1084"/>
      <c r="W95" s="1084"/>
      <c r="X95" s="1084"/>
      <c r="Y95" s="1084"/>
      <c r="Z95" s="1084"/>
      <c r="AA95" s="1556"/>
      <c r="AB95" s="500"/>
      <c r="AC95" s="500"/>
      <c r="AD95" s="500"/>
      <c r="AE95" s="500"/>
      <c r="AF95" s="1565">
        <v>11</v>
      </c>
    </row>
    <row r="96" spans="1:32" s="1565" customFormat="1" ht="11.45" customHeight="1">
      <c r="A96" s="914"/>
      <c r="B96" s="1560"/>
      <c r="C96" s="1560"/>
      <c r="D96" s="285"/>
      <c r="K96" s="1084"/>
      <c r="L96" s="1560"/>
      <c r="M96" s="1560"/>
      <c r="N96" s="1084"/>
      <c r="O96" s="1084"/>
      <c r="P96" s="1084"/>
      <c r="Q96" s="1084"/>
      <c r="R96" s="1560"/>
      <c r="S96" s="1084"/>
      <c r="T96" s="1084"/>
      <c r="U96" s="478"/>
      <c r="V96" s="1084"/>
      <c r="W96" s="1084"/>
      <c r="X96" s="1084"/>
      <c r="Y96" s="1084"/>
      <c r="Z96" s="1084"/>
      <c r="AA96" s="1556"/>
      <c r="AB96" s="500"/>
      <c r="AC96" s="500"/>
      <c r="AD96" s="500"/>
      <c r="AE96" s="500"/>
      <c r="AF96" s="1565">
        <v>11</v>
      </c>
    </row>
    <row r="97" spans="1:32" s="1565" customFormat="1" ht="11.45" customHeight="1">
      <c r="A97" s="914"/>
      <c r="B97" s="1560"/>
      <c r="C97" s="1560"/>
      <c r="D97" s="285"/>
      <c r="K97" s="1084"/>
      <c r="L97" s="1560"/>
      <c r="M97" s="1560"/>
      <c r="N97" s="1084"/>
      <c r="O97" s="1084"/>
      <c r="P97" s="1084"/>
      <c r="Q97" s="1084"/>
      <c r="R97" s="1560"/>
      <c r="S97" s="1084"/>
      <c r="T97" s="1084"/>
      <c r="U97" s="478"/>
      <c r="V97" s="1084"/>
      <c r="W97" s="1084"/>
      <c r="X97" s="1084"/>
      <c r="Y97" s="1084"/>
      <c r="Z97" s="1084"/>
      <c r="AA97" s="1556"/>
      <c r="AB97" s="500"/>
      <c r="AC97" s="500"/>
      <c r="AD97" s="500"/>
      <c r="AE97" s="500"/>
      <c r="AF97" s="1565">
        <v>11</v>
      </c>
    </row>
    <row r="98" spans="1:32" s="1565" customFormat="1" ht="11.45" customHeight="1">
      <c r="A98" s="914"/>
      <c r="B98" s="1560"/>
      <c r="C98" s="1560"/>
      <c r="D98" s="285"/>
      <c r="K98" s="1084"/>
      <c r="L98" s="1560"/>
      <c r="M98" s="1560"/>
      <c r="N98" s="1084"/>
      <c r="O98" s="1084"/>
      <c r="P98" s="1084"/>
      <c r="Q98" s="1084"/>
      <c r="R98" s="1560"/>
      <c r="S98" s="1084"/>
      <c r="T98" s="1084"/>
      <c r="U98" s="478"/>
      <c r="V98" s="1084"/>
      <c r="W98" s="1084"/>
      <c r="X98" s="1084"/>
      <c r="Y98" s="1084"/>
      <c r="Z98" s="1084"/>
      <c r="AA98" s="1556"/>
      <c r="AB98" s="500"/>
      <c r="AC98" s="500"/>
      <c r="AD98" s="500"/>
      <c r="AE98" s="500"/>
      <c r="AF98" s="1565">
        <v>11</v>
      </c>
    </row>
    <row r="99" spans="1:32" s="1565" customFormat="1" ht="11.45" customHeight="1">
      <c r="A99" s="914"/>
      <c r="B99" s="1560"/>
      <c r="C99" s="1560"/>
      <c r="D99" s="285"/>
      <c r="K99" s="1084"/>
      <c r="L99" s="1560"/>
      <c r="M99" s="1560"/>
      <c r="N99" s="1084"/>
      <c r="O99" s="1084"/>
      <c r="P99" s="1084"/>
      <c r="Q99" s="1084"/>
      <c r="R99" s="1560"/>
      <c r="S99" s="1084"/>
      <c r="T99" s="1084"/>
      <c r="U99" s="478"/>
      <c r="V99" s="1084"/>
      <c r="W99" s="1084"/>
      <c r="X99" s="1084"/>
      <c r="Y99" s="1084"/>
      <c r="Z99" s="1084"/>
      <c r="AA99" s="1556"/>
      <c r="AB99" s="500"/>
      <c r="AC99" s="500"/>
      <c r="AD99" s="500"/>
      <c r="AE99" s="500"/>
      <c r="AF99" s="1565">
        <v>11</v>
      </c>
    </row>
    <row r="100" spans="1:32" s="1565" customFormat="1" ht="11.45" customHeight="1">
      <c r="A100" s="914"/>
      <c r="B100" s="1560"/>
      <c r="C100" s="1560"/>
      <c r="D100" s="285"/>
      <c r="K100" s="1084"/>
      <c r="L100" s="1560"/>
      <c r="M100" s="1560"/>
      <c r="N100" s="1084"/>
      <c r="O100" s="1084"/>
      <c r="P100" s="1084"/>
      <c r="Q100" s="1084"/>
      <c r="R100" s="1560"/>
      <c r="S100" s="1084"/>
      <c r="T100" s="1084"/>
      <c r="U100" s="478"/>
      <c r="V100" s="1084"/>
      <c r="W100" s="1084"/>
      <c r="X100" s="1084"/>
      <c r="Y100" s="1084"/>
      <c r="Z100" s="1084"/>
      <c r="AA100" s="1556"/>
      <c r="AB100" s="500"/>
      <c r="AC100" s="500"/>
      <c r="AD100" s="500"/>
      <c r="AE100" s="500"/>
      <c r="AF100" s="1565">
        <v>11</v>
      </c>
    </row>
    <row r="101" spans="1:32" s="1565" customFormat="1" ht="11.45" customHeight="1">
      <c r="A101" s="914"/>
      <c r="B101" s="1560"/>
      <c r="C101" s="1560"/>
      <c r="D101" s="285"/>
      <c r="K101" s="1084"/>
      <c r="L101" s="1560"/>
      <c r="M101" s="1560"/>
      <c r="N101" s="1084"/>
      <c r="O101" s="1084"/>
      <c r="P101" s="1084"/>
      <c r="Q101" s="1084"/>
      <c r="R101" s="1560"/>
      <c r="S101" s="1084"/>
      <c r="T101" s="1084"/>
      <c r="U101" s="478"/>
      <c r="V101" s="1084"/>
      <c r="W101" s="1084"/>
      <c r="X101" s="1084"/>
      <c r="Y101" s="1084"/>
      <c r="Z101" s="1084"/>
      <c r="AA101" s="1556"/>
      <c r="AB101" s="500"/>
      <c r="AC101" s="500"/>
      <c r="AD101" s="500"/>
      <c r="AE101" s="500"/>
      <c r="AF101" s="1565">
        <v>11</v>
      </c>
    </row>
    <row r="102" spans="1:32" s="1565" customFormat="1" ht="11.45" customHeight="1">
      <c r="A102" s="914"/>
      <c r="B102" s="1560"/>
      <c r="C102" s="1560"/>
      <c r="D102" s="285"/>
      <c r="K102" s="1084"/>
      <c r="L102" s="1560"/>
      <c r="M102" s="1560"/>
      <c r="N102" s="1084"/>
      <c r="O102" s="1084"/>
      <c r="P102" s="1084"/>
      <c r="Q102" s="1084"/>
      <c r="R102" s="1560"/>
      <c r="S102" s="1084"/>
      <c r="T102" s="1084"/>
      <c r="U102" s="478"/>
      <c r="V102" s="1084"/>
      <c r="W102" s="1084"/>
      <c r="X102" s="1084"/>
      <c r="Y102" s="1084"/>
      <c r="Z102" s="1084"/>
      <c r="AA102" s="1556"/>
      <c r="AB102" s="500"/>
      <c r="AC102" s="500"/>
      <c r="AD102" s="500"/>
      <c r="AE102" s="500"/>
      <c r="AF102" s="1565">
        <v>11</v>
      </c>
    </row>
    <row r="103" spans="1:32" s="1565" customFormat="1" ht="11.45" customHeight="1">
      <c r="A103" s="914"/>
      <c r="B103" s="1560"/>
      <c r="C103" s="1560"/>
      <c r="D103" s="285"/>
      <c r="K103" s="1084"/>
      <c r="L103" s="1560"/>
      <c r="M103" s="1560"/>
      <c r="N103" s="1084"/>
      <c r="O103" s="1084"/>
      <c r="P103" s="1084"/>
      <c r="Q103" s="1084"/>
      <c r="R103" s="1560"/>
      <c r="S103" s="1084"/>
      <c r="T103" s="1084"/>
      <c r="U103" s="478"/>
      <c r="V103" s="1084"/>
      <c r="W103" s="1084"/>
      <c r="X103" s="1084"/>
      <c r="Y103" s="1084"/>
      <c r="Z103" s="1084"/>
      <c r="AA103" s="1556"/>
      <c r="AB103" s="500"/>
      <c r="AC103" s="500"/>
      <c r="AD103" s="500"/>
      <c r="AE103" s="500"/>
      <c r="AF103" s="1565">
        <v>11</v>
      </c>
    </row>
    <row r="104" spans="1:32" s="1565" customFormat="1" ht="11.45" customHeight="1">
      <c r="A104" s="914"/>
      <c r="B104" s="1560"/>
      <c r="C104" s="1560"/>
      <c r="D104" s="285"/>
      <c r="K104" s="1084"/>
      <c r="L104" s="1560"/>
      <c r="M104" s="1560"/>
      <c r="N104" s="1084"/>
      <c r="O104" s="1084"/>
      <c r="P104" s="1084"/>
      <c r="Q104" s="1084"/>
      <c r="R104" s="1560"/>
      <c r="S104" s="1084"/>
      <c r="T104" s="1084"/>
      <c r="U104" s="478"/>
      <c r="V104" s="1084"/>
      <c r="W104" s="1084"/>
      <c r="X104" s="1084"/>
      <c r="Y104" s="1084"/>
      <c r="Z104" s="1084"/>
      <c r="AA104" s="1556"/>
      <c r="AB104" s="500"/>
      <c r="AC104" s="500"/>
      <c r="AD104" s="500"/>
      <c r="AE104" s="500"/>
      <c r="AF104" s="1565">
        <v>11</v>
      </c>
    </row>
    <row r="105" spans="1:32" s="1565" customFormat="1" ht="11.45" customHeight="1">
      <c r="A105" s="914"/>
      <c r="B105" s="1560"/>
      <c r="C105" s="1560"/>
      <c r="D105" s="285"/>
      <c r="K105" s="1084"/>
      <c r="L105" s="1560"/>
      <c r="M105" s="1560"/>
      <c r="N105" s="1084"/>
      <c r="O105" s="1084"/>
      <c r="P105" s="1084"/>
      <c r="Q105" s="1084"/>
      <c r="R105" s="1560"/>
      <c r="S105" s="1084"/>
      <c r="T105" s="1084"/>
      <c r="U105" s="478"/>
      <c r="V105" s="1084"/>
      <c r="W105" s="1084"/>
      <c r="X105" s="1084"/>
      <c r="Y105" s="1084"/>
      <c r="Z105" s="1084"/>
      <c r="AA105" s="1556"/>
      <c r="AB105" s="500"/>
      <c r="AC105" s="500"/>
      <c r="AD105" s="500"/>
      <c r="AE105" s="500"/>
      <c r="AF105" s="1565">
        <v>11</v>
      </c>
    </row>
    <row r="106" spans="1:32" s="1565" customFormat="1" ht="11.45" customHeight="1">
      <c r="A106" s="914"/>
      <c r="B106" s="1560"/>
      <c r="C106" s="1560"/>
      <c r="D106" s="285"/>
      <c r="K106" s="1084"/>
      <c r="L106" s="1560"/>
      <c r="M106" s="1560"/>
      <c r="N106" s="1084"/>
      <c r="O106" s="1084"/>
      <c r="P106" s="1084"/>
      <c r="Q106" s="1084"/>
      <c r="R106" s="1560"/>
      <c r="S106" s="1084"/>
      <c r="T106" s="1084"/>
      <c r="U106" s="478"/>
      <c r="V106" s="1084"/>
      <c r="W106" s="1084"/>
      <c r="X106" s="1084"/>
      <c r="Y106" s="1084"/>
      <c r="Z106" s="1084"/>
      <c r="AA106" s="1556"/>
      <c r="AB106" s="500"/>
      <c r="AC106" s="500"/>
      <c r="AD106" s="500"/>
      <c r="AE106" s="500"/>
      <c r="AF106" s="1565">
        <v>11</v>
      </c>
    </row>
    <row r="107" spans="1:32" s="1565" customFormat="1" ht="11.45" customHeight="1">
      <c r="A107" s="914"/>
      <c r="B107" s="1560"/>
      <c r="C107" s="1560"/>
      <c r="D107" s="285"/>
      <c r="K107" s="1084"/>
      <c r="L107" s="1560"/>
      <c r="M107" s="1560"/>
      <c r="N107" s="1084"/>
      <c r="O107" s="1084"/>
      <c r="P107" s="1084"/>
      <c r="Q107" s="1084"/>
      <c r="R107" s="1560"/>
      <c r="S107" s="1084"/>
      <c r="T107" s="1084"/>
      <c r="U107" s="478"/>
      <c r="V107" s="1084"/>
      <c r="W107" s="1084"/>
      <c r="X107" s="1084"/>
      <c r="Y107" s="1084"/>
      <c r="Z107" s="1084"/>
      <c r="AA107" s="1556"/>
      <c r="AB107" s="500"/>
      <c r="AC107" s="500"/>
      <c r="AD107" s="500"/>
      <c r="AE107" s="500"/>
      <c r="AF107" s="1565">
        <v>11</v>
      </c>
    </row>
    <row r="108" spans="1:32" s="1565" customFormat="1" ht="11.45" customHeight="1">
      <c r="A108" s="914"/>
      <c r="B108" s="1560"/>
      <c r="C108" s="1560"/>
      <c r="D108" s="285"/>
      <c r="K108" s="1084"/>
      <c r="L108" s="1560"/>
      <c r="M108" s="1560"/>
      <c r="N108" s="1084"/>
      <c r="O108" s="1084"/>
      <c r="P108" s="1084"/>
      <c r="Q108" s="1084"/>
      <c r="R108" s="1560"/>
      <c r="S108" s="1084"/>
      <c r="T108" s="1084"/>
      <c r="U108" s="478"/>
      <c r="V108" s="1084"/>
      <c r="W108" s="1084"/>
      <c r="X108" s="1084"/>
      <c r="Y108" s="1084"/>
      <c r="Z108" s="1084"/>
      <c r="AA108" s="1556"/>
      <c r="AB108" s="500"/>
      <c r="AC108" s="500"/>
      <c r="AD108" s="500"/>
      <c r="AE108" s="500"/>
      <c r="AF108" s="1565">
        <v>11</v>
      </c>
    </row>
    <row r="109" spans="1:32" s="1565" customFormat="1" ht="11.45" customHeight="1">
      <c r="A109" s="914"/>
      <c r="B109" s="1560"/>
      <c r="C109" s="1560"/>
      <c r="D109" s="285"/>
      <c r="K109" s="1084"/>
      <c r="L109" s="1560"/>
      <c r="M109" s="1560"/>
      <c r="N109" s="1084"/>
      <c r="O109" s="1084"/>
      <c r="P109" s="1084"/>
      <c r="Q109" s="1084"/>
      <c r="R109" s="1560"/>
      <c r="S109" s="1084"/>
      <c r="T109" s="1084"/>
      <c r="U109" s="478"/>
      <c r="V109" s="1084"/>
      <c r="W109" s="1084"/>
      <c r="X109" s="1084"/>
      <c r="Y109" s="1084"/>
      <c r="Z109" s="1084"/>
      <c r="AA109" s="1556"/>
      <c r="AB109" s="500"/>
      <c r="AC109" s="500"/>
      <c r="AD109" s="500"/>
      <c r="AE109" s="500"/>
      <c r="AF109" s="1565">
        <v>11</v>
      </c>
    </row>
    <row r="110" spans="1:32" s="1565" customFormat="1" ht="11.45" customHeight="1">
      <c r="A110" s="914"/>
      <c r="B110" s="1560"/>
      <c r="C110" s="1560"/>
      <c r="D110" s="285"/>
      <c r="K110" s="1084"/>
      <c r="L110" s="1560"/>
      <c r="M110" s="1560"/>
      <c r="N110" s="1084"/>
      <c r="O110" s="1084"/>
      <c r="P110" s="1084"/>
      <c r="Q110" s="1084"/>
      <c r="R110" s="1560"/>
      <c r="S110" s="1084"/>
      <c r="T110" s="1084"/>
      <c r="U110" s="478"/>
      <c r="V110" s="1084"/>
      <c r="W110" s="1084"/>
      <c r="X110" s="1084"/>
      <c r="Y110" s="1084"/>
      <c r="Z110" s="1084"/>
      <c r="AA110" s="1556"/>
      <c r="AB110" s="500"/>
      <c r="AC110" s="500"/>
      <c r="AD110" s="500"/>
      <c r="AE110" s="500"/>
      <c r="AF110" s="1565">
        <v>11</v>
      </c>
    </row>
    <row r="111" spans="1:32" s="1565" customFormat="1" ht="11.45" customHeight="1">
      <c r="A111" s="914"/>
      <c r="B111" s="1560"/>
      <c r="C111" s="1560"/>
      <c r="D111" s="285"/>
      <c r="K111" s="1084"/>
      <c r="L111" s="1560"/>
      <c r="M111" s="1560"/>
      <c r="N111" s="1084"/>
      <c r="O111" s="1084"/>
      <c r="P111" s="1084"/>
      <c r="Q111" s="1084"/>
      <c r="R111" s="1560"/>
      <c r="S111" s="1084"/>
      <c r="T111" s="1084"/>
      <c r="U111" s="478"/>
      <c r="V111" s="1084"/>
      <c r="W111" s="1084"/>
      <c r="X111" s="1084"/>
      <c r="Y111" s="1084"/>
      <c r="Z111" s="1084"/>
      <c r="AA111" s="1556"/>
      <c r="AB111" s="500"/>
      <c r="AC111" s="500"/>
      <c r="AD111" s="500"/>
      <c r="AE111" s="500"/>
      <c r="AF111" s="1565">
        <v>11</v>
      </c>
    </row>
    <row r="112" spans="1:32" s="1565" customFormat="1" ht="11.45" customHeight="1">
      <c r="A112" s="914"/>
      <c r="B112" s="1560"/>
      <c r="C112" s="1560"/>
      <c r="D112" s="285"/>
      <c r="K112" s="1084"/>
      <c r="L112" s="1560"/>
      <c r="M112" s="1560"/>
      <c r="N112" s="1084"/>
      <c r="O112" s="1084"/>
      <c r="P112" s="1084"/>
      <c r="Q112" s="1084"/>
      <c r="R112" s="1560"/>
      <c r="S112" s="1084"/>
      <c r="T112" s="1084"/>
      <c r="U112" s="478"/>
      <c r="V112" s="1084"/>
      <c r="W112" s="1084"/>
      <c r="X112" s="1084"/>
      <c r="Y112" s="1084"/>
      <c r="Z112" s="1084"/>
      <c r="AA112" s="1556"/>
      <c r="AB112" s="500"/>
      <c r="AC112" s="500"/>
      <c r="AD112" s="500"/>
      <c r="AE112" s="500"/>
      <c r="AF112" s="1565">
        <v>11</v>
      </c>
    </row>
    <row r="113" spans="1:32" s="1565" customFormat="1" ht="11.45" customHeight="1">
      <c r="A113" s="914"/>
      <c r="B113" s="1560"/>
      <c r="C113" s="1560"/>
      <c r="D113" s="285"/>
      <c r="K113" s="1084"/>
      <c r="L113" s="1560"/>
      <c r="M113" s="1560"/>
      <c r="N113" s="1084"/>
      <c r="O113" s="1084"/>
      <c r="P113" s="1084"/>
      <c r="Q113" s="1084"/>
      <c r="R113" s="1560"/>
      <c r="S113" s="1084"/>
      <c r="T113" s="1084"/>
      <c r="U113" s="478"/>
      <c r="V113" s="1084"/>
      <c r="W113" s="1084"/>
      <c r="X113" s="1084"/>
      <c r="Y113" s="1084"/>
      <c r="Z113" s="1084"/>
      <c r="AA113" s="1556"/>
      <c r="AB113" s="500"/>
      <c r="AC113" s="500"/>
      <c r="AD113" s="500"/>
      <c r="AE113" s="500"/>
      <c r="AF113" s="1565">
        <v>11</v>
      </c>
    </row>
    <row r="114" spans="1:32" s="1565" customFormat="1" ht="11.45" customHeight="1">
      <c r="A114" s="914"/>
      <c r="B114" s="1560"/>
      <c r="C114" s="1560"/>
      <c r="D114" s="285"/>
      <c r="K114" s="1084"/>
      <c r="L114" s="1560"/>
      <c r="M114" s="1560"/>
      <c r="N114" s="1084"/>
      <c r="O114" s="1084"/>
      <c r="P114" s="1084"/>
      <c r="Q114" s="1084"/>
      <c r="R114" s="1560"/>
      <c r="S114" s="1084"/>
      <c r="T114" s="1084"/>
      <c r="U114" s="478"/>
      <c r="V114" s="1084"/>
      <c r="W114" s="1084"/>
      <c r="X114" s="1084"/>
      <c r="Y114" s="1084"/>
      <c r="Z114" s="1084"/>
      <c r="AA114" s="1556"/>
      <c r="AB114" s="500"/>
      <c r="AC114" s="500"/>
      <c r="AD114" s="500"/>
      <c r="AE114" s="500"/>
      <c r="AF114" s="1565">
        <v>11</v>
      </c>
    </row>
    <row r="115" spans="1:32" s="1565" customFormat="1" ht="11.45" customHeight="1">
      <c r="A115" s="914"/>
      <c r="B115" s="1560"/>
      <c r="C115" s="1560"/>
      <c r="D115" s="285"/>
      <c r="K115" s="1084"/>
      <c r="L115" s="1560"/>
      <c r="M115" s="1560"/>
      <c r="N115" s="1084"/>
      <c r="O115" s="1084"/>
      <c r="P115" s="1084"/>
      <c r="Q115" s="1084"/>
      <c r="R115" s="1560"/>
      <c r="S115" s="1084"/>
      <c r="T115" s="1084"/>
      <c r="U115" s="478"/>
      <c r="V115" s="1084"/>
      <c r="W115" s="1084"/>
      <c r="X115" s="1084"/>
      <c r="Y115" s="1084"/>
      <c r="Z115" s="1084"/>
      <c r="AA115" s="1556"/>
      <c r="AB115" s="500"/>
      <c r="AC115" s="500"/>
      <c r="AD115" s="500"/>
      <c r="AE115" s="500"/>
      <c r="AF115" s="1565">
        <v>11</v>
      </c>
    </row>
    <row r="116" spans="1:32" s="1565" customFormat="1" ht="11.45" customHeight="1">
      <c r="A116" s="914"/>
      <c r="B116" s="1560"/>
      <c r="C116" s="1560"/>
      <c r="D116" s="285"/>
      <c r="K116" s="1084"/>
      <c r="L116" s="1560"/>
      <c r="M116" s="1560"/>
      <c r="N116" s="1084"/>
      <c r="O116" s="1084"/>
      <c r="P116" s="1084"/>
      <c r="Q116" s="1084"/>
      <c r="R116" s="1560"/>
      <c r="S116" s="1084"/>
      <c r="T116" s="1084"/>
      <c r="U116" s="478"/>
      <c r="V116" s="1084"/>
      <c r="W116" s="1084"/>
      <c r="X116" s="1084"/>
      <c r="Y116" s="1084"/>
      <c r="Z116" s="1084"/>
      <c r="AA116" s="1556"/>
      <c r="AB116" s="500"/>
      <c r="AC116" s="500"/>
      <c r="AD116" s="500"/>
      <c r="AE116" s="500"/>
      <c r="AF116" s="1565">
        <v>11</v>
      </c>
    </row>
    <row r="117" spans="1:32" s="1565" customFormat="1" ht="11.45" customHeight="1">
      <c r="A117" s="914"/>
      <c r="B117" s="1560"/>
      <c r="C117" s="1560"/>
      <c r="D117" s="285"/>
      <c r="K117" s="1084"/>
      <c r="L117" s="1560"/>
      <c r="M117" s="1560"/>
      <c r="N117" s="1084"/>
      <c r="O117" s="1084"/>
      <c r="P117" s="1084"/>
      <c r="Q117" s="1084"/>
      <c r="R117" s="1560"/>
      <c r="S117" s="1084"/>
      <c r="T117" s="1084"/>
      <c r="U117" s="478"/>
      <c r="V117" s="1084"/>
      <c r="W117" s="1084"/>
      <c r="X117" s="1084"/>
      <c r="Y117" s="1084"/>
      <c r="Z117" s="1084"/>
      <c r="AA117" s="1556"/>
      <c r="AB117" s="500"/>
      <c r="AC117" s="500"/>
      <c r="AD117" s="500"/>
      <c r="AE117" s="500"/>
      <c r="AF117" s="1565">
        <v>11</v>
      </c>
    </row>
    <row r="118" spans="1:32" s="1565" customFormat="1" ht="11.45" customHeight="1">
      <c r="A118" s="914"/>
      <c r="B118" s="1560"/>
      <c r="C118" s="1560"/>
      <c r="D118" s="285"/>
      <c r="K118" s="1084"/>
      <c r="L118" s="1560"/>
      <c r="M118" s="1560"/>
      <c r="N118" s="1084"/>
      <c r="O118" s="1084"/>
      <c r="P118" s="1084"/>
      <c r="Q118" s="1084"/>
      <c r="R118" s="1560"/>
      <c r="S118" s="1084"/>
      <c r="T118" s="1084"/>
      <c r="U118" s="478"/>
      <c r="V118" s="1084"/>
      <c r="W118" s="1084"/>
      <c r="X118" s="1084"/>
      <c r="Y118" s="1084"/>
      <c r="Z118" s="1084"/>
      <c r="AA118" s="1556"/>
      <c r="AB118" s="500"/>
      <c r="AC118" s="500"/>
      <c r="AD118" s="500"/>
      <c r="AE118" s="500"/>
      <c r="AF118" s="1565">
        <v>11</v>
      </c>
    </row>
    <row r="119" spans="1:32" s="1565" customFormat="1" ht="11.45" customHeight="1">
      <c r="A119" s="914"/>
      <c r="B119" s="1560"/>
      <c r="C119" s="1560"/>
      <c r="D119" s="285"/>
      <c r="K119" s="1084"/>
      <c r="L119" s="1560"/>
      <c r="M119" s="1560"/>
      <c r="N119" s="1084"/>
      <c r="O119" s="1084"/>
      <c r="P119" s="1084"/>
      <c r="Q119" s="1084"/>
      <c r="R119" s="1560"/>
      <c r="S119" s="1084"/>
      <c r="T119" s="1084"/>
      <c r="U119" s="478"/>
      <c r="V119" s="1084"/>
      <c r="W119" s="1084"/>
      <c r="X119" s="1084"/>
      <c r="Y119" s="1084"/>
      <c r="Z119" s="1084"/>
      <c r="AA119" s="1556"/>
      <c r="AB119" s="500"/>
      <c r="AC119" s="500"/>
      <c r="AD119" s="500"/>
      <c r="AE119" s="500"/>
      <c r="AF119" s="1565">
        <v>11</v>
      </c>
    </row>
    <row r="120" spans="1:32" s="1565" customFormat="1" ht="11.45" customHeight="1">
      <c r="A120" s="914"/>
      <c r="B120" s="1560"/>
      <c r="C120" s="1560"/>
      <c r="D120" s="285"/>
      <c r="K120" s="1084"/>
      <c r="L120" s="1560"/>
      <c r="M120" s="1560"/>
      <c r="N120" s="1084"/>
      <c r="O120" s="1084"/>
      <c r="P120" s="1084"/>
      <c r="Q120" s="1084"/>
      <c r="R120" s="1560"/>
      <c r="S120" s="1084"/>
      <c r="T120" s="1084"/>
      <c r="U120" s="478"/>
      <c r="V120" s="1084"/>
      <c r="W120" s="1084"/>
      <c r="X120" s="1084"/>
      <c r="Y120" s="1084"/>
      <c r="Z120" s="1084"/>
      <c r="AA120" s="1556"/>
      <c r="AB120" s="500"/>
      <c r="AC120" s="500"/>
      <c r="AD120" s="500"/>
      <c r="AE120" s="500"/>
      <c r="AF120" s="1565">
        <v>11</v>
      </c>
    </row>
    <row r="121" spans="1:32" s="1565" customFormat="1" ht="11.45" customHeight="1">
      <c r="A121" s="914"/>
      <c r="B121" s="1560"/>
      <c r="C121" s="1560"/>
      <c r="D121" s="285"/>
      <c r="K121" s="1084"/>
      <c r="L121" s="1560"/>
      <c r="M121" s="1560"/>
      <c r="N121" s="1084"/>
      <c r="O121" s="1084"/>
      <c r="P121" s="1084"/>
      <c r="Q121" s="1084"/>
      <c r="R121" s="1560"/>
      <c r="S121" s="1084"/>
      <c r="T121" s="1084"/>
      <c r="U121" s="478"/>
      <c r="V121" s="1084"/>
      <c r="W121" s="1084"/>
      <c r="X121" s="1084"/>
      <c r="Y121" s="1084"/>
      <c r="Z121" s="1084"/>
      <c r="AA121" s="1556"/>
      <c r="AB121" s="500"/>
      <c r="AC121" s="500"/>
      <c r="AD121" s="500"/>
      <c r="AE121" s="500"/>
      <c r="AF121" s="1565">
        <v>11</v>
      </c>
    </row>
    <row r="122" spans="1:32" s="1565" customFormat="1" ht="11.45" customHeight="1">
      <c r="A122" s="914"/>
      <c r="B122" s="1560"/>
      <c r="C122" s="1560"/>
      <c r="D122" s="285"/>
      <c r="K122" s="1084"/>
      <c r="L122" s="1560"/>
      <c r="M122" s="1560"/>
      <c r="N122" s="1084"/>
      <c r="O122" s="1084"/>
      <c r="P122" s="1084"/>
      <c r="Q122" s="1084"/>
      <c r="R122" s="1560"/>
      <c r="S122" s="1084"/>
      <c r="T122" s="1084"/>
      <c r="U122" s="478"/>
      <c r="V122" s="1084"/>
      <c r="W122" s="1084"/>
      <c r="X122" s="1084"/>
      <c r="Y122" s="1084"/>
      <c r="Z122" s="1084"/>
      <c r="AA122" s="1556"/>
      <c r="AB122" s="500"/>
      <c r="AC122" s="500"/>
      <c r="AD122" s="500"/>
      <c r="AE122" s="500"/>
      <c r="AF122" s="1565">
        <v>11</v>
      </c>
    </row>
    <row r="123" spans="1:32" s="1565" customFormat="1" ht="11.45" customHeight="1">
      <c r="A123" s="914"/>
      <c r="B123" s="1560"/>
      <c r="C123" s="1560"/>
      <c r="D123" s="285"/>
      <c r="K123" s="1084"/>
      <c r="L123" s="1560"/>
      <c r="M123" s="1560"/>
      <c r="N123" s="1084"/>
      <c r="O123" s="1084"/>
      <c r="P123" s="1084"/>
      <c r="Q123" s="1084"/>
      <c r="R123" s="1560"/>
      <c r="S123" s="1084"/>
      <c r="T123" s="1084"/>
      <c r="U123" s="478"/>
      <c r="V123" s="1084"/>
      <c r="W123" s="1084"/>
      <c r="X123" s="1084"/>
      <c r="Y123" s="1084"/>
      <c r="Z123" s="1084"/>
      <c r="AA123" s="1556"/>
      <c r="AB123" s="500"/>
      <c r="AC123" s="500"/>
      <c r="AD123" s="500"/>
      <c r="AE123" s="500"/>
      <c r="AF123" s="1565">
        <v>11</v>
      </c>
    </row>
    <row r="124" spans="1:32" s="1565" customFormat="1" ht="11.45" customHeight="1">
      <c r="A124" s="914"/>
      <c r="B124" s="1560"/>
      <c r="C124" s="1560"/>
      <c r="D124" s="285"/>
      <c r="K124" s="1084"/>
      <c r="L124" s="1560"/>
      <c r="M124" s="1560"/>
      <c r="N124" s="1084"/>
      <c r="O124" s="1084"/>
      <c r="P124" s="1084"/>
      <c r="Q124" s="1084"/>
      <c r="R124" s="1560"/>
      <c r="S124" s="1084"/>
      <c r="T124" s="1084"/>
      <c r="U124" s="478"/>
      <c r="V124" s="1084"/>
      <c r="W124" s="1084"/>
      <c r="X124" s="1084"/>
      <c r="Y124" s="1084"/>
      <c r="Z124" s="1084"/>
      <c r="AA124" s="1556"/>
      <c r="AB124" s="500"/>
      <c r="AC124" s="500"/>
      <c r="AD124" s="500"/>
      <c r="AE124" s="500"/>
      <c r="AF124" s="1565">
        <v>11</v>
      </c>
    </row>
    <row r="125" spans="1:32" s="1565" customFormat="1" ht="11.45" customHeight="1">
      <c r="A125" s="914"/>
      <c r="B125" s="1560"/>
      <c r="C125" s="1560"/>
      <c r="D125" s="285"/>
      <c r="K125" s="1084"/>
      <c r="L125" s="1560"/>
      <c r="M125" s="1560"/>
      <c r="N125" s="1084"/>
      <c r="O125" s="1084"/>
      <c r="P125" s="1084"/>
      <c r="Q125" s="1084"/>
      <c r="R125" s="1560"/>
      <c r="S125" s="1084"/>
      <c r="T125" s="1084"/>
      <c r="U125" s="478"/>
      <c r="V125" s="1084"/>
      <c r="W125" s="1084"/>
      <c r="X125" s="1084"/>
      <c r="Y125" s="1084"/>
      <c r="Z125" s="1084"/>
      <c r="AA125" s="1556"/>
      <c r="AB125" s="500"/>
      <c r="AC125" s="500"/>
      <c r="AD125" s="500"/>
      <c r="AE125" s="500"/>
      <c r="AF125" s="1565">
        <v>11</v>
      </c>
    </row>
    <row r="126" spans="1:32" s="1565" customFormat="1" ht="11.45" customHeight="1">
      <c r="A126" s="914"/>
      <c r="B126" s="1560"/>
      <c r="C126" s="1560"/>
      <c r="D126" s="285"/>
      <c r="K126" s="1084"/>
      <c r="L126" s="1560"/>
      <c r="M126" s="1560"/>
      <c r="N126" s="1084"/>
      <c r="O126" s="1084"/>
      <c r="P126" s="1084"/>
      <c r="Q126" s="1084"/>
      <c r="R126" s="1560"/>
      <c r="S126" s="1084"/>
      <c r="T126" s="1084"/>
      <c r="U126" s="478"/>
      <c r="V126" s="1084"/>
      <c r="W126" s="1084"/>
      <c r="X126" s="1084"/>
      <c r="Y126" s="1084"/>
      <c r="Z126" s="1084"/>
      <c r="AA126" s="1556"/>
      <c r="AB126" s="500"/>
      <c r="AC126" s="500"/>
      <c r="AD126" s="500"/>
      <c r="AE126" s="500"/>
      <c r="AF126" s="1565">
        <v>11</v>
      </c>
    </row>
    <row r="127" spans="1:32" s="1565" customFormat="1" ht="11.45" customHeight="1">
      <c r="A127" s="914"/>
      <c r="B127" s="1560"/>
      <c r="C127" s="1560"/>
      <c r="D127" s="285"/>
      <c r="K127" s="1084"/>
      <c r="L127" s="1560"/>
      <c r="M127" s="1560"/>
      <c r="N127" s="1084"/>
      <c r="O127" s="1084"/>
      <c r="P127" s="1084"/>
      <c r="Q127" s="1084"/>
      <c r="R127" s="1560"/>
      <c r="S127" s="1084"/>
      <c r="T127" s="1084"/>
      <c r="U127" s="478"/>
      <c r="V127" s="1084"/>
      <c r="W127" s="1084"/>
      <c r="X127" s="1084"/>
      <c r="Y127" s="1084"/>
      <c r="Z127" s="1084"/>
      <c r="AA127" s="1556"/>
      <c r="AB127" s="500"/>
      <c r="AC127" s="500"/>
      <c r="AD127" s="500"/>
      <c r="AE127" s="500"/>
      <c r="AF127" s="1565">
        <v>11</v>
      </c>
    </row>
    <row r="128" spans="1:32" s="1565" customFormat="1" ht="11.45" customHeight="1">
      <c r="A128" s="914"/>
      <c r="B128" s="1560"/>
      <c r="C128" s="1560"/>
      <c r="D128" s="285"/>
      <c r="K128" s="1084"/>
      <c r="L128" s="1560"/>
      <c r="M128" s="1560"/>
      <c r="N128" s="1084"/>
      <c r="O128" s="1084"/>
      <c r="P128" s="1084"/>
      <c r="Q128" s="1084"/>
      <c r="R128" s="1560"/>
      <c r="S128" s="1084"/>
      <c r="T128" s="1084"/>
      <c r="U128" s="478"/>
      <c r="V128" s="1084"/>
      <c r="W128" s="1084"/>
      <c r="X128" s="1084"/>
      <c r="Y128" s="1084"/>
      <c r="Z128" s="1084"/>
      <c r="AA128" s="1556"/>
      <c r="AB128" s="500"/>
      <c r="AC128" s="500"/>
      <c r="AD128" s="500"/>
      <c r="AE128" s="500"/>
      <c r="AF128" s="1565">
        <v>11</v>
      </c>
    </row>
    <row r="129" spans="1:32" s="1565" customFormat="1" ht="11.45" customHeight="1">
      <c r="A129" s="914"/>
      <c r="B129" s="1560"/>
      <c r="C129" s="1560"/>
      <c r="D129" s="285"/>
      <c r="K129" s="1084"/>
      <c r="L129" s="1560"/>
      <c r="M129" s="1560"/>
      <c r="N129" s="1084"/>
      <c r="O129" s="1084"/>
      <c r="P129" s="1084"/>
      <c r="Q129" s="1084"/>
      <c r="R129" s="1560"/>
      <c r="S129" s="1084"/>
      <c r="T129" s="1084"/>
      <c r="U129" s="478"/>
      <c r="V129" s="1084"/>
      <c r="W129" s="1084"/>
      <c r="X129" s="1084"/>
      <c r="Y129" s="1084"/>
      <c r="Z129" s="1084"/>
      <c r="AA129" s="1556"/>
      <c r="AB129" s="500"/>
      <c r="AC129" s="500"/>
      <c r="AD129" s="500"/>
      <c r="AE129" s="500"/>
      <c r="AF129" s="1565">
        <v>11</v>
      </c>
    </row>
    <row r="130" spans="1:32" s="1565" customFormat="1" ht="11.45" customHeight="1">
      <c r="A130" s="914"/>
      <c r="B130" s="1560"/>
      <c r="C130" s="1560"/>
      <c r="D130" s="285"/>
      <c r="K130" s="1084"/>
      <c r="L130" s="1560"/>
      <c r="M130" s="1560"/>
      <c r="N130" s="1084"/>
      <c r="O130" s="1084"/>
      <c r="P130" s="1084"/>
      <c r="Q130" s="1084"/>
      <c r="R130" s="1560"/>
      <c r="S130" s="1084"/>
      <c r="T130" s="1084"/>
      <c r="U130" s="478"/>
      <c r="V130" s="1084"/>
      <c r="W130" s="1084"/>
      <c r="X130" s="1084"/>
      <c r="Y130" s="1084"/>
      <c r="Z130" s="1084"/>
      <c r="AA130" s="1556"/>
      <c r="AB130" s="500"/>
      <c r="AC130" s="500"/>
      <c r="AD130" s="500"/>
      <c r="AE130" s="500"/>
      <c r="AF130" s="1565">
        <v>11</v>
      </c>
    </row>
    <row r="131" spans="1:32" s="1565" customFormat="1" ht="11.45" customHeight="1">
      <c r="A131" s="914"/>
      <c r="B131" s="1560"/>
      <c r="C131" s="1560"/>
      <c r="D131" s="285"/>
      <c r="K131" s="1084"/>
      <c r="L131" s="1560"/>
      <c r="M131" s="1560"/>
      <c r="N131" s="1084"/>
      <c r="O131" s="1084"/>
      <c r="P131" s="1084"/>
      <c r="Q131" s="1084"/>
      <c r="R131" s="1560"/>
      <c r="S131" s="1084"/>
      <c r="T131" s="1084"/>
      <c r="U131" s="478"/>
      <c r="V131" s="1084"/>
      <c r="W131" s="1084"/>
      <c r="X131" s="1084"/>
      <c r="Y131" s="1084"/>
      <c r="Z131" s="1084"/>
      <c r="AA131" s="1556"/>
      <c r="AB131" s="500"/>
      <c r="AC131" s="500"/>
      <c r="AD131" s="500"/>
      <c r="AE131" s="500"/>
      <c r="AF131" s="1565">
        <v>11</v>
      </c>
    </row>
    <row r="132" spans="1:32" s="1565" customFormat="1" ht="11.45" customHeight="1">
      <c r="A132" s="914"/>
      <c r="B132" s="1560"/>
      <c r="C132" s="1560"/>
      <c r="D132" s="285"/>
      <c r="K132" s="1084"/>
      <c r="L132" s="1560"/>
      <c r="M132" s="1560"/>
      <c r="N132" s="1084"/>
      <c r="O132" s="1084"/>
      <c r="P132" s="1084"/>
      <c r="Q132" s="1084"/>
      <c r="R132" s="1560"/>
      <c r="S132" s="1084"/>
      <c r="T132" s="1084"/>
      <c r="U132" s="478"/>
      <c r="V132" s="1084"/>
      <c r="W132" s="1084"/>
      <c r="X132" s="1084"/>
      <c r="Y132" s="1084"/>
      <c r="Z132" s="1084"/>
      <c r="AA132" s="1556"/>
      <c r="AB132" s="500"/>
      <c r="AC132" s="500"/>
      <c r="AD132" s="500"/>
      <c r="AE132" s="500"/>
      <c r="AF132" s="1565">
        <v>11</v>
      </c>
    </row>
    <row r="133" spans="1:32" s="1565" customFormat="1" ht="11.45" customHeight="1">
      <c r="A133" s="914"/>
      <c r="B133" s="1560"/>
      <c r="C133" s="1560"/>
      <c r="D133" s="285"/>
      <c r="K133" s="1084"/>
      <c r="L133" s="1560"/>
      <c r="M133" s="1560"/>
      <c r="N133" s="1084"/>
      <c r="O133" s="1084"/>
      <c r="P133" s="1084"/>
      <c r="Q133" s="1084"/>
      <c r="R133" s="1560"/>
      <c r="S133" s="1084"/>
      <c r="T133" s="1084"/>
      <c r="U133" s="478"/>
      <c r="V133" s="1084"/>
      <c r="W133" s="1084"/>
      <c r="X133" s="1084"/>
      <c r="Y133" s="1084"/>
      <c r="Z133" s="1084"/>
      <c r="AA133" s="1556"/>
      <c r="AB133" s="500"/>
      <c r="AC133" s="500"/>
      <c r="AD133" s="500"/>
      <c r="AE133" s="500"/>
      <c r="AF133" s="1565">
        <v>11</v>
      </c>
    </row>
    <row r="134" spans="1:32" s="1565" customFormat="1" ht="11.45" customHeight="1">
      <c r="A134" s="914"/>
      <c r="B134" s="1560"/>
      <c r="C134" s="1560"/>
      <c r="D134" s="285"/>
      <c r="K134" s="1084"/>
      <c r="L134" s="1560"/>
      <c r="M134" s="1560"/>
      <c r="N134" s="1084"/>
      <c r="O134" s="1084"/>
      <c r="P134" s="1084"/>
      <c r="Q134" s="1084"/>
      <c r="R134" s="1560"/>
      <c r="S134" s="1084"/>
      <c r="T134" s="1084"/>
      <c r="U134" s="478"/>
      <c r="V134" s="1084"/>
      <c r="W134" s="1084"/>
      <c r="X134" s="1084"/>
      <c r="Y134" s="1084"/>
      <c r="Z134" s="1084"/>
      <c r="AA134" s="1556"/>
      <c r="AB134" s="500"/>
      <c r="AC134" s="500"/>
      <c r="AD134" s="500"/>
      <c r="AE134" s="500"/>
      <c r="AF134" s="1565">
        <v>11</v>
      </c>
    </row>
    <row r="135" spans="1:32" s="1565" customFormat="1" ht="11.45" customHeight="1">
      <c r="A135" s="914"/>
      <c r="B135" s="1560"/>
      <c r="C135" s="1560"/>
      <c r="D135" s="285"/>
      <c r="K135" s="1084"/>
      <c r="L135" s="1560"/>
      <c r="M135" s="1560"/>
      <c r="N135" s="1084"/>
      <c r="O135" s="1084"/>
      <c r="P135" s="1084"/>
      <c r="Q135" s="1084"/>
      <c r="R135" s="1560"/>
      <c r="S135" s="1084"/>
      <c r="T135" s="1084"/>
      <c r="U135" s="478"/>
      <c r="V135" s="1084"/>
      <c r="W135" s="1084"/>
      <c r="X135" s="1084"/>
      <c r="Y135" s="1084"/>
      <c r="Z135" s="1084"/>
      <c r="AA135" s="1556"/>
      <c r="AB135" s="500"/>
      <c r="AC135" s="500"/>
      <c r="AD135" s="500"/>
      <c r="AE135" s="500"/>
      <c r="AF135" s="1565">
        <v>11</v>
      </c>
    </row>
    <row r="136" spans="1:32" s="1565" customFormat="1" ht="11.45" customHeight="1">
      <c r="A136" s="914"/>
      <c r="B136" s="1560"/>
      <c r="C136" s="1560"/>
      <c r="D136" s="285"/>
      <c r="K136" s="1084"/>
      <c r="L136" s="1560"/>
      <c r="M136" s="1560"/>
      <c r="N136" s="1084"/>
      <c r="O136" s="1084"/>
      <c r="P136" s="1084"/>
      <c r="Q136" s="1084"/>
      <c r="R136" s="1560"/>
      <c r="S136" s="1084"/>
      <c r="T136" s="1084"/>
      <c r="U136" s="478"/>
      <c r="V136" s="1084"/>
      <c r="W136" s="1084"/>
      <c r="X136" s="1084"/>
      <c r="Y136" s="1084"/>
      <c r="Z136" s="1084"/>
      <c r="AA136" s="1556"/>
      <c r="AB136" s="500"/>
      <c r="AC136" s="500"/>
      <c r="AD136" s="500"/>
      <c r="AE136" s="500"/>
      <c r="AF136" s="1565">
        <v>11</v>
      </c>
    </row>
    <row r="137" spans="1:32" s="1565" customFormat="1" ht="11.45" customHeight="1">
      <c r="A137" s="914"/>
      <c r="B137" s="1560"/>
      <c r="C137" s="1560"/>
      <c r="D137" s="285"/>
      <c r="K137" s="1084"/>
      <c r="L137" s="1560"/>
      <c r="M137" s="1560"/>
      <c r="N137" s="1084"/>
      <c r="O137" s="1084"/>
      <c r="P137" s="1084"/>
      <c r="Q137" s="1084"/>
      <c r="R137" s="1560"/>
      <c r="S137" s="1084"/>
      <c r="T137" s="1084"/>
      <c r="U137" s="478"/>
      <c r="V137" s="1084"/>
      <c r="W137" s="1084"/>
      <c r="X137" s="1084"/>
      <c r="Y137" s="1084"/>
      <c r="Z137" s="1084"/>
      <c r="AA137" s="1556"/>
      <c r="AB137" s="500"/>
      <c r="AC137" s="500"/>
      <c r="AD137" s="500"/>
      <c r="AE137" s="500"/>
      <c r="AF137" s="1565">
        <v>11</v>
      </c>
    </row>
    <row r="138" spans="1:32" s="1565" customFormat="1" ht="11.45" customHeight="1">
      <c r="A138" s="914"/>
      <c r="B138" s="1560"/>
      <c r="C138" s="1560"/>
      <c r="D138" s="285"/>
      <c r="K138" s="1084"/>
      <c r="L138" s="1560"/>
      <c r="M138" s="1560"/>
      <c r="N138" s="1084"/>
      <c r="O138" s="1084"/>
      <c r="P138" s="1084"/>
      <c r="Q138" s="1084"/>
      <c r="R138" s="1560"/>
      <c r="S138" s="1084"/>
      <c r="T138" s="1084"/>
      <c r="U138" s="478"/>
      <c r="V138" s="1084"/>
      <c r="W138" s="1084"/>
      <c r="X138" s="1084"/>
      <c r="Y138" s="1084"/>
      <c r="Z138" s="1084"/>
      <c r="AA138" s="1556"/>
      <c r="AB138" s="500"/>
      <c r="AC138" s="500"/>
      <c r="AD138" s="500"/>
      <c r="AE138" s="500"/>
      <c r="AF138" s="1565">
        <v>11</v>
      </c>
    </row>
    <row r="139" spans="1:32" s="1565" customFormat="1" ht="11.45" customHeight="1">
      <c r="A139" s="914"/>
      <c r="B139" s="1560"/>
      <c r="C139" s="1560"/>
      <c r="D139" s="285"/>
      <c r="K139" s="1084"/>
      <c r="L139" s="1560"/>
      <c r="M139" s="1560"/>
      <c r="N139" s="1084"/>
      <c r="O139" s="1084"/>
      <c r="P139" s="1084"/>
      <c r="Q139" s="1084"/>
      <c r="R139" s="1560"/>
      <c r="S139" s="1084"/>
      <c r="T139" s="1084"/>
      <c r="U139" s="478"/>
      <c r="V139" s="1084"/>
      <c r="W139" s="1084"/>
      <c r="X139" s="1084"/>
      <c r="Y139" s="1084"/>
      <c r="Z139" s="1084"/>
      <c r="AA139" s="1556"/>
      <c r="AB139" s="500"/>
      <c r="AC139" s="500"/>
      <c r="AD139" s="500"/>
      <c r="AE139" s="500"/>
      <c r="AF139" s="1565">
        <v>11</v>
      </c>
    </row>
    <row r="140" spans="1:32" s="1565" customFormat="1" ht="11.45" customHeight="1">
      <c r="A140" s="914"/>
      <c r="B140" s="1560"/>
      <c r="C140" s="1560"/>
      <c r="D140" s="285"/>
      <c r="K140" s="1084"/>
      <c r="L140" s="1560"/>
      <c r="M140" s="1560"/>
      <c r="N140" s="1084"/>
      <c r="O140" s="1084"/>
      <c r="P140" s="1084"/>
      <c r="Q140" s="1084"/>
      <c r="R140" s="1560"/>
      <c r="S140" s="1084"/>
      <c r="T140" s="1084"/>
      <c r="U140" s="478"/>
      <c r="V140" s="1084"/>
      <c r="W140" s="1084"/>
      <c r="X140" s="1084"/>
      <c r="Y140" s="1084"/>
      <c r="Z140" s="1084"/>
      <c r="AA140" s="1556"/>
      <c r="AB140" s="500"/>
      <c r="AC140" s="500"/>
      <c r="AD140" s="500"/>
      <c r="AE140" s="500"/>
      <c r="AF140" s="1565">
        <v>11</v>
      </c>
    </row>
    <row r="141" spans="1:32" s="1565" customFormat="1" ht="11.45" customHeight="1">
      <c r="A141" s="914"/>
      <c r="B141" s="1560"/>
      <c r="C141" s="1560"/>
      <c r="D141" s="285"/>
      <c r="K141" s="1084"/>
      <c r="L141" s="1560"/>
      <c r="M141" s="1560"/>
      <c r="N141" s="1084"/>
      <c r="O141" s="1084"/>
      <c r="P141" s="1084"/>
      <c r="Q141" s="1084"/>
      <c r="R141" s="1560"/>
      <c r="S141" s="1084"/>
      <c r="T141" s="1084"/>
      <c r="U141" s="478"/>
      <c r="V141" s="1084"/>
      <c r="W141" s="1084"/>
      <c r="X141" s="1084"/>
      <c r="Y141" s="1084"/>
      <c r="Z141" s="1084"/>
      <c r="AA141" s="1556"/>
      <c r="AB141" s="500"/>
      <c r="AC141" s="500"/>
      <c r="AD141" s="500"/>
      <c r="AE141" s="500"/>
      <c r="AF141" s="1565">
        <v>11</v>
      </c>
    </row>
    <row r="142" spans="1:32" s="1565" customFormat="1" ht="11.45" customHeight="1">
      <c r="A142" s="914"/>
      <c r="B142" s="1560"/>
      <c r="C142" s="1560"/>
      <c r="D142" s="285"/>
      <c r="K142" s="1084"/>
      <c r="L142" s="1560"/>
      <c r="M142" s="1560"/>
      <c r="N142" s="1084"/>
      <c r="O142" s="1084"/>
      <c r="P142" s="1084"/>
      <c r="Q142" s="1084"/>
      <c r="R142" s="1560"/>
      <c r="S142" s="1084"/>
      <c r="T142" s="1084"/>
      <c r="U142" s="478"/>
      <c r="V142" s="1084"/>
      <c r="W142" s="1084"/>
      <c r="X142" s="1084"/>
      <c r="Y142" s="1084"/>
      <c r="Z142" s="1084"/>
      <c r="AA142" s="1556"/>
      <c r="AB142" s="500"/>
      <c r="AC142" s="500"/>
      <c r="AD142" s="500"/>
      <c r="AE142" s="500"/>
      <c r="AF142" s="1565">
        <v>11</v>
      </c>
    </row>
    <row r="143" spans="1:32" s="1565" customFormat="1" ht="11.45" customHeight="1">
      <c r="A143" s="914"/>
      <c r="B143" s="1560"/>
      <c r="C143" s="1560"/>
      <c r="D143" s="285"/>
      <c r="K143" s="1084"/>
      <c r="L143" s="1560"/>
      <c r="M143" s="1560"/>
      <c r="N143" s="1084"/>
      <c r="O143" s="1084"/>
      <c r="P143" s="1084"/>
      <c r="Q143" s="1084"/>
      <c r="R143" s="1560"/>
      <c r="S143" s="1084"/>
      <c r="T143" s="1084"/>
      <c r="U143" s="478"/>
      <c r="V143" s="1084"/>
      <c r="W143" s="1084"/>
      <c r="X143" s="1084"/>
      <c r="Y143" s="1084"/>
      <c r="Z143" s="1084"/>
      <c r="AA143" s="1556"/>
      <c r="AB143" s="500"/>
      <c r="AC143" s="500"/>
      <c r="AD143" s="500"/>
      <c r="AE143" s="500"/>
      <c r="AF143" s="1565">
        <v>11</v>
      </c>
    </row>
    <row r="144" spans="1:32" s="1565" customFormat="1" ht="11.45" customHeight="1">
      <c r="A144" s="914"/>
      <c r="B144" s="1560"/>
      <c r="C144" s="1560"/>
      <c r="D144" s="285"/>
      <c r="K144" s="1084"/>
      <c r="L144" s="1560"/>
      <c r="M144" s="1560"/>
      <c r="N144" s="1084"/>
      <c r="O144" s="1084"/>
      <c r="P144" s="1084"/>
      <c r="Q144" s="1084"/>
      <c r="R144" s="1560"/>
      <c r="S144" s="1084"/>
      <c r="T144" s="1084"/>
      <c r="U144" s="478"/>
      <c r="V144" s="1084"/>
      <c r="W144" s="1084"/>
      <c r="X144" s="1084"/>
      <c r="Y144" s="1084"/>
      <c r="Z144" s="1084"/>
      <c r="AA144" s="1556"/>
      <c r="AB144" s="500"/>
      <c r="AC144" s="500"/>
      <c r="AD144" s="500"/>
      <c r="AE144" s="500"/>
      <c r="AF144" s="1565">
        <v>11</v>
      </c>
    </row>
    <row r="145" spans="1:32" s="1565" customFormat="1" ht="11.45" customHeight="1">
      <c r="A145" s="914"/>
      <c r="B145" s="1560"/>
      <c r="C145" s="1560"/>
      <c r="D145" s="285"/>
      <c r="K145" s="1084"/>
      <c r="L145" s="1560"/>
      <c r="M145" s="1560"/>
      <c r="N145" s="1084"/>
      <c r="O145" s="1084"/>
      <c r="P145" s="1084"/>
      <c r="Q145" s="1084"/>
      <c r="R145" s="1560"/>
      <c r="S145" s="1084"/>
      <c r="T145" s="1084"/>
      <c r="U145" s="478"/>
      <c r="V145" s="1084"/>
      <c r="W145" s="1084"/>
      <c r="X145" s="1084"/>
      <c r="Y145" s="1084"/>
      <c r="Z145" s="1084"/>
      <c r="AA145" s="1556"/>
      <c r="AB145" s="500"/>
      <c r="AC145" s="500"/>
      <c r="AD145" s="500"/>
      <c r="AE145" s="500"/>
      <c r="AF145" s="1565">
        <v>11</v>
      </c>
    </row>
    <row r="146" spans="1:32" s="1565" customFormat="1" ht="11.45" customHeight="1">
      <c r="A146" s="914"/>
      <c r="B146" s="1560"/>
      <c r="C146" s="1560"/>
      <c r="D146" s="285"/>
      <c r="K146" s="1084"/>
      <c r="L146" s="1560"/>
      <c r="M146" s="1560"/>
      <c r="N146" s="1084"/>
      <c r="O146" s="1084"/>
      <c r="P146" s="1084"/>
      <c r="Q146" s="1084"/>
      <c r="R146" s="1560"/>
      <c r="S146" s="1084"/>
      <c r="T146" s="1084"/>
      <c r="U146" s="478"/>
      <c r="V146" s="1084"/>
      <c r="W146" s="1084"/>
      <c r="X146" s="1084"/>
      <c r="Y146" s="1084"/>
      <c r="Z146" s="1084"/>
      <c r="AA146" s="1556"/>
      <c r="AB146" s="500"/>
      <c r="AC146" s="500"/>
      <c r="AD146" s="500"/>
      <c r="AE146" s="500"/>
      <c r="AF146" s="1565">
        <v>11</v>
      </c>
    </row>
    <row r="147" spans="1:32" s="1565" customFormat="1" ht="11.45" customHeight="1">
      <c r="A147" s="914"/>
      <c r="B147" s="1560"/>
      <c r="C147" s="1560"/>
      <c r="D147" s="285"/>
      <c r="K147" s="1084"/>
      <c r="L147" s="1560"/>
      <c r="M147" s="1560"/>
      <c r="N147" s="1084"/>
      <c r="O147" s="1084"/>
      <c r="P147" s="1084"/>
      <c r="Q147" s="1084"/>
      <c r="R147" s="1560"/>
      <c r="S147" s="1084"/>
      <c r="T147" s="1084"/>
      <c r="U147" s="478"/>
      <c r="V147" s="1084"/>
      <c r="W147" s="1084"/>
      <c r="X147" s="1084"/>
      <c r="Y147" s="1084"/>
      <c r="Z147" s="1084"/>
      <c r="AA147" s="1556"/>
      <c r="AB147" s="500"/>
      <c r="AC147" s="500"/>
      <c r="AD147" s="500"/>
      <c r="AE147" s="500"/>
      <c r="AF147" s="1565">
        <v>11</v>
      </c>
    </row>
    <row r="148" spans="1:32" s="1565" customFormat="1" ht="11.45" customHeight="1">
      <c r="A148" s="914"/>
      <c r="B148" s="1560"/>
      <c r="C148" s="1560"/>
      <c r="D148" s="285"/>
      <c r="K148" s="1084"/>
      <c r="L148" s="1560"/>
      <c r="M148" s="1560"/>
      <c r="N148" s="1084"/>
      <c r="O148" s="1084"/>
      <c r="P148" s="1084"/>
      <c r="Q148" s="1084"/>
      <c r="R148" s="1560"/>
      <c r="S148" s="1084"/>
      <c r="T148" s="1084"/>
      <c r="U148" s="478"/>
      <c r="V148" s="1084"/>
      <c r="W148" s="1084"/>
      <c r="X148" s="1084"/>
      <c r="Y148" s="1084"/>
      <c r="Z148" s="1084"/>
      <c r="AA148" s="1556"/>
      <c r="AB148" s="500"/>
      <c r="AC148" s="500"/>
      <c r="AD148" s="500"/>
      <c r="AE148" s="500"/>
      <c r="AF148" s="1565">
        <v>11</v>
      </c>
    </row>
    <row r="149" spans="1:32" s="1565" customFormat="1" ht="11.45" customHeight="1">
      <c r="A149" s="914"/>
      <c r="B149" s="1560"/>
      <c r="C149" s="1560"/>
      <c r="D149" s="285"/>
      <c r="K149" s="1084"/>
      <c r="L149" s="1560"/>
      <c r="M149" s="1560"/>
      <c r="N149" s="1084"/>
      <c r="O149" s="1084"/>
      <c r="P149" s="1084"/>
      <c r="Q149" s="1084"/>
      <c r="R149" s="1560"/>
      <c r="S149" s="1084"/>
      <c r="T149" s="1084"/>
      <c r="U149" s="478"/>
      <c r="V149" s="1084"/>
      <c r="W149" s="1084"/>
      <c r="X149" s="1084"/>
      <c r="Y149" s="1084"/>
      <c r="Z149" s="1084"/>
      <c r="AA149" s="1556"/>
      <c r="AB149" s="500"/>
      <c r="AC149" s="500"/>
      <c r="AD149" s="500"/>
      <c r="AE149" s="500"/>
      <c r="AF149" s="1565">
        <v>11</v>
      </c>
    </row>
    <row r="150" spans="1:32" s="1565" customFormat="1" ht="11.45" customHeight="1">
      <c r="A150" s="914"/>
      <c r="B150" s="1560"/>
      <c r="C150" s="1560"/>
      <c r="D150" s="285"/>
      <c r="K150" s="1084"/>
      <c r="L150" s="1560"/>
      <c r="M150" s="1560"/>
      <c r="N150" s="1084"/>
      <c r="O150" s="1084"/>
      <c r="P150" s="1084"/>
      <c r="Q150" s="1084"/>
      <c r="R150" s="1560"/>
      <c r="S150" s="1084"/>
      <c r="T150" s="1084"/>
      <c r="U150" s="478"/>
      <c r="V150" s="1084"/>
      <c r="W150" s="1084"/>
      <c r="X150" s="1084"/>
      <c r="Y150" s="1084"/>
      <c r="Z150" s="1084"/>
      <c r="AA150" s="1556"/>
      <c r="AB150" s="500"/>
      <c r="AC150" s="500"/>
      <c r="AD150" s="500"/>
      <c r="AE150" s="500"/>
      <c r="AF150" s="1565">
        <v>11</v>
      </c>
    </row>
    <row r="151" spans="1:32" s="1565" customFormat="1" ht="11.45" customHeight="1">
      <c r="A151" s="914"/>
      <c r="B151" s="1560"/>
      <c r="C151" s="1560"/>
      <c r="D151" s="285"/>
      <c r="K151" s="1084"/>
      <c r="L151" s="1560"/>
      <c r="M151" s="1560"/>
      <c r="N151" s="1084"/>
      <c r="O151" s="1084"/>
      <c r="P151" s="1084"/>
      <c r="Q151" s="1084"/>
      <c r="R151" s="1560"/>
      <c r="S151" s="1084"/>
      <c r="T151" s="1084"/>
      <c r="U151" s="478"/>
      <c r="V151" s="1084"/>
      <c r="W151" s="1084"/>
      <c r="X151" s="1084"/>
      <c r="Y151" s="1084"/>
      <c r="Z151" s="1084"/>
      <c r="AA151" s="1556"/>
      <c r="AB151" s="500"/>
      <c r="AC151" s="500"/>
      <c r="AD151" s="500"/>
      <c r="AE151" s="500"/>
      <c r="AF151" s="1565">
        <v>11</v>
      </c>
    </row>
    <row r="152" spans="1:32" s="1565" customFormat="1" ht="11.45" customHeight="1">
      <c r="A152" s="914"/>
      <c r="B152" s="1560"/>
      <c r="C152" s="1560"/>
      <c r="D152" s="285"/>
      <c r="K152" s="1084"/>
      <c r="L152" s="1560"/>
      <c r="M152" s="1560"/>
      <c r="N152" s="1084"/>
      <c r="O152" s="1084"/>
      <c r="P152" s="1084"/>
      <c r="Q152" s="1084"/>
      <c r="R152" s="1560"/>
      <c r="S152" s="1084"/>
      <c r="T152" s="1084"/>
      <c r="U152" s="478"/>
      <c r="V152" s="1084"/>
      <c r="W152" s="1084"/>
      <c r="X152" s="1084"/>
      <c r="Y152" s="1084"/>
      <c r="Z152" s="1084"/>
      <c r="AA152" s="1556"/>
      <c r="AB152" s="500"/>
      <c r="AC152" s="500"/>
      <c r="AD152" s="500"/>
      <c r="AE152" s="500"/>
      <c r="AF152" s="1565">
        <v>11</v>
      </c>
    </row>
    <row r="153" spans="1:32" s="1565" customFormat="1" ht="11.45" customHeight="1">
      <c r="A153" s="914"/>
      <c r="B153" s="1560"/>
      <c r="C153" s="1560"/>
      <c r="D153" s="285"/>
      <c r="K153" s="1084"/>
      <c r="L153" s="1560"/>
      <c r="M153" s="1560"/>
      <c r="N153" s="1084"/>
      <c r="O153" s="1084"/>
      <c r="P153" s="1084"/>
      <c r="Q153" s="1084"/>
      <c r="R153" s="1560"/>
      <c r="S153" s="1084"/>
      <c r="T153" s="1084"/>
      <c r="U153" s="478"/>
      <c r="V153" s="1084"/>
      <c r="W153" s="1084"/>
      <c r="X153" s="1084"/>
      <c r="Y153" s="1084"/>
      <c r="Z153" s="1084"/>
      <c r="AA153" s="1556"/>
      <c r="AB153" s="500"/>
      <c r="AC153" s="500"/>
      <c r="AD153" s="500"/>
      <c r="AE153" s="500"/>
      <c r="AF153" s="1565">
        <v>11</v>
      </c>
    </row>
    <row r="154" spans="1:32" s="1565" customFormat="1" ht="11.45" customHeight="1">
      <c r="A154" s="914"/>
      <c r="B154" s="1560"/>
      <c r="C154" s="1560"/>
      <c r="D154" s="285"/>
      <c r="K154" s="1084"/>
      <c r="L154" s="1560"/>
      <c r="M154" s="1560"/>
      <c r="N154" s="1084"/>
      <c r="O154" s="1084"/>
      <c r="P154" s="1084"/>
      <c r="Q154" s="1084"/>
      <c r="R154" s="1560"/>
      <c r="S154" s="1084"/>
      <c r="T154" s="1084"/>
      <c r="U154" s="478"/>
      <c r="V154" s="1084"/>
      <c r="W154" s="1084"/>
      <c r="X154" s="1084"/>
      <c r="Y154" s="1084"/>
      <c r="Z154" s="1084"/>
      <c r="AA154" s="1556"/>
      <c r="AB154" s="500"/>
      <c r="AC154" s="500"/>
      <c r="AD154" s="500"/>
      <c r="AE154" s="500"/>
      <c r="AF154" s="1565">
        <v>11</v>
      </c>
    </row>
    <row r="155" spans="1:32" s="1565" customFormat="1" ht="11.45" customHeight="1">
      <c r="A155" s="914"/>
      <c r="B155" s="1560"/>
      <c r="C155" s="1560"/>
      <c r="D155" s="285"/>
      <c r="K155" s="1084"/>
      <c r="L155" s="1560"/>
      <c r="M155" s="1560"/>
      <c r="N155" s="1084"/>
      <c r="O155" s="1084"/>
      <c r="P155" s="1084"/>
      <c r="Q155" s="1084"/>
      <c r="R155" s="1560"/>
      <c r="S155" s="1084"/>
      <c r="T155" s="1084"/>
      <c r="U155" s="478"/>
      <c r="V155" s="1084"/>
      <c r="W155" s="1084"/>
      <c r="X155" s="1084"/>
      <c r="Y155" s="1084"/>
      <c r="Z155" s="1084"/>
      <c r="AA155" s="1556"/>
      <c r="AB155" s="500"/>
      <c r="AC155" s="500"/>
      <c r="AD155" s="500"/>
      <c r="AE155" s="500"/>
      <c r="AF155" s="1565">
        <v>11</v>
      </c>
    </row>
    <row r="156" spans="1:32" s="1565" customFormat="1" ht="11.45" customHeight="1">
      <c r="A156" s="914"/>
      <c r="B156" s="1560"/>
      <c r="C156" s="1560"/>
      <c r="D156" s="285"/>
      <c r="K156" s="1084"/>
      <c r="L156" s="1560"/>
      <c r="M156" s="1560"/>
      <c r="N156" s="1084"/>
      <c r="O156" s="1084"/>
      <c r="P156" s="1084"/>
      <c r="Q156" s="1084"/>
      <c r="R156" s="1560"/>
      <c r="S156" s="1084"/>
      <c r="T156" s="1084"/>
      <c r="U156" s="478"/>
      <c r="V156" s="1084"/>
      <c r="W156" s="1084"/>
      <c r="X156" s="1084"/>
      <c r="Y156" s="1084"/>
      <c r="Z156" s="1084"/>
      <c r="AA156" s="1556"/>
      <c r="AB156" s="500"/>
      <c r="AC156" s="500"/>
      <c r="AD156" s="500"/>
      <c r="AE156" s="500"/>
      <c r="AF156" s="1565">
        <v>11</v>
      </c>
    </row>
    <row r="157" spans="1:32" s="1565" customFormat="1" ht="11.45" customHeight="1">
      <c r="A157" s="914"/>
      <c r="B157" s="1560"/>
      <c r="C157" s="1560"/>
      <c r="D157" s="285"/>
      <c r="K157" s="1084"/>
      <c r="L157" s="1560"/>
      <c r="M157" s="1560"/>
      <c r="N157" s="1084"/>
      <c r="O157" s="1084"/>
      <c r="P157" s="1084"/>
      <c r="Q157" s="1084"/>
      <c r="R157" s="1560"/>
      <c r="S157" s="1084"/>
      <c r="T157" s="1084"/>
      <c r="U157" s="478"/>
      <c r="V157" s="1084"/>
      <c r="W157" s="1084"/>
      <c r="X157" s="1084"/>
      <c r="Y157" s="1084"/>
      <c r="Z157" s="1084"/>
      <c r="AA157" s="1556"/>
      <c r="AB157" s="500"/>
      <c r="AC157" s="500"/>
      <c r="AD157" s="500"/>
      <c r="AE157" s="500"/>
      <c r="AF157" s="1565">
        <v>11</v>
      </c>
    </row>
    <row r="158" spans="1:32" s="1565" customFormat="1" ht="11.45" customHeight="1">
      <c r="A158" s="914"/>
      <c r="B158" s="1560"/>
      <c r="C158" s="1560"/>
      <c r="D158" s="285"/>
      <c r="K158" s="1084"/>
      <c r="L158" s="1560"/>
      <c r="M158" s="1560"/>
      <c r="N158" s="1084"/>
      <c r="O158" s="1084"/>
      <c r="P158" s="1084"/>
      <c r="Q158" s="1084"/>
      <c r="R158" s="1560"/>
      <c r="S158" s="1084"/>
      <c r="T158" s="1084"/>
      <c r="U158" s="478"/>
      <c r="V158" s="1084"/>
      <c r="W158" s="1084"/>
      <c r="X158" s="1084"/>
      <c r="Y158" s="1084"/>
      <c r="Z158" s="1084"/>
      <c r="AA158" s="1556"/>
      <c r="AB158" s="500"/>
      <c r="AC158" s="500"/>
      <c r="AD158" s="500"/>
      <c r="AE158" s="500"/>
      <c r="AF158" s="1565">
        <v>11</v>
      </c>
    </row>
    <row r="159" spans="1:32" s="1565" customFormat="1" ht="11.45" customHeight="1">
      <c r="A159" s="914"/>
      <c r="B159" s="1560"/>
      <c r="C159" s="1560"/>
      <c r="D159" s="285"/>
      <c r="K159" s="1084"/>
      <c r="L159" s="1560"/>
      <c r="M159" s="1560"/>
      <c r="N159" s="1084"/>
      <c r="O159" s="1084"/>
      <c r="P159" s="1084"/>
      <c r="Q159" s="1084"/>
      <c r="R159" s="1560"/>
      <c r="S159" s="1084"/>
      <c r="T159" s="1084"/>
      <c r="U159" s="478"/>
      <c r="V159" s="1084"/>
      <c r="W159" s="1084"/>
      <c r="X159" s="1084"/>
      <c r="Y159" s="1084"/>
      <c r="Z159" s="1084"/>
      <c r="AA159" s="1556"/>
      <c r="AB159" s="500"/>
      <c r="AC159" s="500"/>
      <c r="AD159" s="500"/>
      <c r="AE159" s="500"/>
      <c r="AF159" s="1565">
        <v>11</v>
      </c>
    </row>
    <row r="160" spans="1:32" s="1565" customFormat="1" ht="11.45" customHeight="1">
      <c r="A160" s="914"/>
      <c r="B160" s="1560"/>
      <c r="C160" s="1560"/>
      <c r="D160" s="285"/>
      <c r="K160" s="1084"/>
      <c r="L160" s="1560"/>
      <c r="M160" s="1560"/>
      <c r="N160" s="1084"/>
      <c r="O160" s="1084"/>
      <c r="P160" s="1084"/>
      <c r="Q160" s="1084"/>
      <c r="R160" s="1560"/>
      <c r="S160" s="1084"/>
      <c r="T160" s="1084"/>
      <c r="U160" s="478"/>
      <c r="V160" s="1084"/>
      <c r="W160" s="1084"/>
      <c r="X160" s="1084"/>
      <c r="Y160" s="1084"/>
      <c r="Z160" s="1084"/>
      <c r="AA160" s="1556"/>
      <c r="AB160" s="500"/>
      <c r="AC160" s="500"/>
      <c r="AD160" s="500"/>
      <c r="AE160" s="500"/>
      <c r="AF160" s="1565">
        <v>11</v>
      </c>
    </row>
    <row r="161" spans="1:32" s="1565" customFormat="1" ht="11.45" customHeight="1">
      <c r="A161" s="914"/>
      <c r="B161" s="1560"/>
      <c r="C161" s="1560"/>
      <c r="D161" s="285"/>
      <c r="K161" s="1084"/>
      <c r="L161" s="1560"/>
      <c r="M161" s="1560"/>
      <c r="N161" s="1084"/>
      <c r="O161" s="1084"/>
      <c r="P161" s="1084"/>
      <c r="Q161" s="1084"/>
      <c r="R161" s="1560"/>
      <c r="S161" s="1084"/>
      <c r="T161" s="1084"/>
      <c r="U161" s="478"/>
      <c r="V161" s="1084"/>
      <c r="W161" s="1084"/>
      <c r="X161" s="1084"/>
      <c r="Y161" s="1084"/>
      <c r="Z161" s="1084"/>
      <c r="AA161" s="1556"/>
      <c r="AB161" s="500"/>
      <c r="AC161" s="500"/>
      <c r="AD161" s="500"/>
      <c r="AE161" s="500"/>
      <c r="AF161" s="1565">
        <v>11</v>
      </c>
    </row>
    <row r="162" spans="1:32" s="1565" customFormat="1" ht="11.45" customHeight="1">
      <c r="A162" s="914"/>
      <c r="B162" s="1560"/>
      <c r="C162" s="1560"/>
      <c r="D162" s="285"/>
      <c r="K162" s="1084"/>
      <c r="L162" s="1560"/>
      <c r="M162" s="1560"/>
      <c r="N162" s="1084"/>
      <c r="O162" s="1084"/>
      <c r="P162" s="1084"/>
      <c r="Q162" s="1084"/>
      <c r="R162" s="1560"/>
      <c r="S162" s="1084"/>
      <c r="T162" s="1084"/>
      <c r="U162" s="478"/>
      <c r="V162" s="1084"/>
      <c r="W162" s="1084"/>
      <c r="X162" s="1084"/>
      <c r="Y162" s="1084"/>
      <c r="Z162" s="1084"/>
      <c r="AA162" s="1556"/>
      <c r="AB162" s="500"/>
      <c r="AC162" s="500"/>
      <c r="AD162" s="500"/>
      <c r="AE162" s="500"/>
      <c r="AF162" s="1565">
        <v>11</v>
      </c>
    </row>
    <row r="163" spans="1:32" s="1565" customFormat="1" ht="11.45" customHeight="1">
      <c r="A163" s="914"/>
      <c r="B163" s="1560"/>
      <c r="C163" s="1560"/>
      <c r="D163" s="285"/>
      <c r="K163" s="1084"/>
      <c r="L163" s="1560"/>
      <c r="M163" s="1560"/>
      <c r="N163" s="1084"/>
      <c r="O163" s="1084"/>
      <c r="P163" s="1084"/>
      <c r="Q163" s="1084"/>
      <c r="R163" s="1560"/>
      <c r="S163" s="1084"/>
      <c r="T163" s="1084"/>
      <c r="U163" s="478"/>
      <c r="V163" s="1084"/>
      <c r="W163" s="1084"/>
      <c r="X163" s="1084"/>
      <c r="Y163" s="1084"/>
      <c r="Z163" s="1084"/>
      <c r="AA163" s="1556"/>
      <c r="AB163" s="500"/>
      <c r="AC163" s="500"/>
      <c r="AD163" s="500"/>
      <c r="AE163" s="500"/>
      <c r="AF163" s="1565">
        <v>11</v>
      </c>
    </row>
    <row r="164" spans="1:32" s="1565" customFormat="1" ht="11.45" customHeight="1">
      <c r="A164" s="914"/>
      <c r="B164" s="1560"/>
      <c r="C164" s="1560"/>
      <c r="D164" s="285"/>
      <c r="K164" s="1084"/>
      <c r="L164" s="1560"/>
      <c r="M164" s="1560"/>
      <c r="N164" s="1084"/>
      <c r="O164" s="1084"/>
      <c r="P164" s="1084"/>
      <c r="Q164" s="1084"/>
      <c r="R164" s="1560"/>
      <c r="S164" s="1084"/>
      <c r="T164" s="1084"/>
      <c r="U164" s="478"/>
      <c r="V164" s="1084"/>
      <c r="W164" s="1084"/>
      <c r="X164" s="1084"/>
      <c r="Y164" s="1084"/>
      <c r="Z164" s="1084"/>
      <c r="AA164" s="1556"/>
      <c r="AB164" s="500"/>
      <c r="AC164" s="500"/>
      <c r="AD164" s="500"/>
      <c r="AE164" s="500"/>
      <c r="AF164" s="1565">
        <v>11</v>
      </c>
    </row>
    <row r="165" spans="1:32" s="1565" customFormat="1" ht="11.45" customHeight="1">
      <c r="A165" s="914"/>
      <c r="B165" s="1560"/>
      <c r="C165" s="1560"/>
      <c r="D165" s="285"/>
      <c r="K165" s="1084"/>
      <c r="L165" s="1560"/>
      <c r="M165" s="1560"/>
      <c r="N165" s="1084"/>
      <c r="O165" s="1084"/>
      <c r="P165" s="1084"/>
      <c r="Q165" s="1084"/>
      <c r="R165" s="1560"/>
      <c r="S165" s="1084"/>
      <c r="T165" s="1084"/>
      <c r="U165" s="478"/>
      <c r="V165" s="1084"/>
      <c r="W165" s="1084"/>
      <c r="X165" s="1084"/>
      <c r="Y165" s="1084"/>
      <c r="Z165" s="1084"/>
      <c r="AA165" s="1556"/>
      <c r="AB165" s="500"/>
      <c r="AC165" s="500"/>
      <c r="AD165" s="500"/>
      <c r="AE165" s="500"/>
      <c r="AF165" s="1565">
        <v>11</v>
      </c>
    </row>
    <row r="166" spans="1:32" s="1565" customFormat="1" ht="11.45" customHeight="1">
      <c r="A166" s="914"/>
      <c r="B166" s="1560"/>
      <c r="C166" s="1560"/>
      <c r="D166" s="285"/>
      <c r="K166" s="1084"/>
      <c r="L166" s="1560"/>
      <c r="M166" s="1560"/>
      <c r="N166" s="1084"/>
      <c r="O166" s="1084"/>
      <c r="P166" s="1084"/>
      <c r="Q166" s="1084"/>
      <c r="R166" s="1560"/>
      <c r="S166" s="1084"/>
      <c r="T166" s="1084"/>
      <c r="U166" s="478"/>
      <c r="V166" s="1084"/>
      <c r="W166" s="1084"/>
      <c r="X166" s="1084"/>
      <c r="Y166" s="1084"/>
      <c r="Z166" s="1084"/>
      <c r="AA166" s="1556"/>
      <c r="AB166" s="500"/>
      <c r="AC166" s="500"/>
      <c r="AD166" s="500"/>
      <c r="AE166" s="500"/>
      <c r="AF166" s="1565">
        <v>11</v>
      </c>
    </row>
    <row r="167" spans="1:32" s="1565" customFormat="1" ht="11.45" customHeight="1">
      <c r="A167" s="914"/>
      <c r="B167" s="1560"/>
      <c r="C167" s="1560"/>
      <c r="D167" s="285"/>
      <c r="K167" s="1084"/>
      <c r="L167" s="1560"/>
      <c r="M167" s="1560"/>
      <c r="N167" s="1084"/>
      <c r="O167" s="1084"/>
      <c r="P167" s="1084"/>
      <c r="Q167" s="1084"/>
      <c r="R167" s="1560"/>
      <c r="S167" s="1084"/>
      <c r="T167" s="1084"/>
      <c r="U167" s="478"/>
      <c r="V167" s="1084"/>
      <c r="W167" s="1084"/>
      <c r="X167" s="1084"/>
      <c r="Y167" s="1084"/>
      <c r="Z167" s="1084"/>
      <c r="AA167" s="1556"/>
      <c r="AB167" s="500"/>
      <c r="AC167" s="500"/>
      <c r="AD167" s="500"/>
      <c r="AE167" s="500"/>
      <c r="AF167" s="1565">
        <v>11</v>
      </c>
    </row>
    <row r="168" spans="1:32" s="1565" customFormat="1" ht="11.45" customHeight="1">
      <c r="A168" s="914"/>
      <c r="B168" s="1560"/>
      <c r="C168" s="1560"/>
      <c r="D168" s="285"/>
      <c r="K168" s="1084"/>
      <c r="L168" s="1560"/>
      <c r="M168" s="1560"/>
      <c r="N168" s="1084"/>
      <c r="O168" s="1084"/>
      <c r="P168" s="1084"/>
      <c r="Q168" s="1084"/>
      <c r="R168" s="1560"/>
      <c r="S168" s="1084"/>
      <c r="T168" s="1084"/>
      <c r="U168" s="478"/>
      <c r="V168" s="1084"/>
      <c r="W168" s="1084"/>
      <c r="X168" s="1084"/>
      <c r="Y168" s="1084"/>
      <c r="Z168" s="1084"/>
      <c r="AA168" s="1556"/>
      <c r="AB168" s="500"/>
      <c r="AC168" s="500"/>
      <c r="AD168" s="500"/>
      <c r="AE168" s="500"/>
      <c r="AF168" s="1565">
        <v>11</v>
      </c>
    </row>
    <row r="169" spans="1:32" s="1565" customFormat="1" ht="11.45" customHeight="1">
      <c r="A169" s="914"/>
      <c r="B169" s="1560"/>
      <c r="C169" s="1560"/>
      <c r="D169" s="285"/>
      <c r="K169" s="1084"/>
      <c r="L169" s="1560"/>
      <c r="M169" s="1560"/>
      <c r="N169" s="1084"/>
      <c r="O169" s="1084"/>
      <c r="P169" s="1084"/>
      <c r="Q169" s="1084"/>
      <c r="R169" s="1560"/>
      <c r="S169" s="1084"/>
      <c r="T169" s="1084"/>
      <c r="U169" s="478"/>
      <c r="V169" s="1084"/>
      <c r="W169" s="1084"/>
      <c r="X169" s="1084"/>
      <c r="Y169" s="1084"/>
      <c r="Z169" s="1084"/>
      <c r="AA169" s="1556"/>
      <c r="AB169" s="500"/>
      <c r="AC169" s="500"/>
      <c r="AD169" s="500"/>
      <c r="AE169" s="500"/>
      <c r="AF169" s="1565">
        <v>11</v>
      </c>
    </row>
    <row r="170" spans="1:32" s="1565" customFormat="1" ht="11.45" customHeight="1">
      <c r="A170" s="914"/>
      <c r="B170" s="1560"/>
      <c r="C170" s="1560"/>
      <c r="D170" s="285"/>
      <c r="K170" s="1084"/>
      <c r="L170" s="1560"/>
      <c r="M170" s="1560"/>
      <c r="N170" s="1084"/>
      <c r="O170" s="1084"/>
      <c r="P170" s="1084"/>
      <c r="Q170" s="1084"/>
      <c r="R170" s="1560"/>
      <c r="S170" s="1084"/>
      <c r="T170" s="1084"/>
      <c r="U170" s="478"/>
      <c r="V170" s="1084"/>
      <c r="W170" s="1084"/>
      <c r="X170" s="1084"/>
      <c r="Y170" s="1084"/>
      <c r="Z170" s="1084"/>
      <c r="AA170" s="1556"/>
      <c r="AB170" s="500"/>
      <c r="AC170" s="500"/>
      <c r="AD170" s="500"/>
      <c r="AE170" s="500"/>
      <c r="AF170" s="1565">
        <v>11</v>
      </c>
    </row>
    <row r="171" spans="1:32" s="1565" customFormat="1" ht="11.45" customHeight="1">
      <c r="A171" s="914"/>
      <c r="B171" s="1560"/>
      <c r="C171" s="1560"/>
      <c r="D171" s="285"/>
      <c r="K171" s="1084"/>
      <c r="L171" s="1560"/>
      <c r="M171" s="1560"/>
      <c r="N171" s="1084"/>
      <c r="O171" s="1084"/>
      <c r="P171" s="1084"/>
      <c r="Q171" s="1084"/>
      <c r="R171" s="1560"/>
      <c r="S171" s="1084"/>
      <c r="T171" s="1084"/>
      <c r="U171" s="478"/>
      <c r="V171" s="1084"/>
      <c r="W171" s="1084"/>
      <c r="X171" s="1084"/>
      <c r="Y171" s="1084"/>
      <c r="Z171" s="1084"/>
      <c r="AA171" s="1556"/>
      <c r="AB171" s="500"/>
      <c r="AC171" s="500"/>
      <c r="AD171" s="500"/>
      <c r="AE171" s="500"/>
      <c r="AF171" s="1565">
        <v>11</v>
      </c>
    </row>
    <row r="172" spans="1:32" s="1565" customFormat="1" ht="11.45" customHeight="1">
      <c r="A172" s="914"/>
      <c r="B172" s="1560"/>
      <c r="C172" s="1560"/>
      <c r="D172" s="285"/>
      <c r="K172" s="1084"/>
      <c r="L172" s="1560"/>
      <c r="M172" s="1560"/>
      <c r="N172" s="1084"/>
      <c r="O172" s="1084"/>
      <c r="P172" s="1084"/>
      <c r="Q172" s="1084"/>
      <c r="R172" s="1560"/>
      <c r="S172" s="1084"/>
      <c r="T172" s="1084"/>
      <c r="U172" s="478"/>
      <c r="V172" s="1084"/>
      <c r="W172" s="1084"/>
      <c r="X172" s="1084"/>
      <c r="Y172" s="1084"/>
      <c r="Z172" s="1084"/>
      <c r="AA172" s="1556"/>
      <c r="AB172" s="500"/>
      <c r="AC172" s="500"/>
      <c r="AD172" s="500"/>
      <c r="AE172" s="500"/>
      <c r="AF172" s="1565">
        <v>11</v>
      </c>
    </row>
    <row r="173" spans="1:32" s="1565" customFormat="1" ht="11.45" customHeight="1">
      <c r="A173" s="914"/>
      <c r="B173" s="1560"/>
      <c r="C173" s="1560"/>
      <c r="D173" s="285"/>
      <c r="K173" s="1084"/>
      <c r="L173" s="1560"/>
      <c r="M173" s="1560"/>
      <c r="N173" s="1084"/>
      <c r="O173" s="1084"/>
      <c r="P173" s="1084"/>
      <c r="Q173" s="1084"/>
      <c r="R173" s="1560"/>
      <c r="S173" s="1084"/>
      <c r="T173" s="1084"/>
      <c r="U173" s="478"/>
      <c r="V173" s="1084"/>
      <c r="W173" s="1084"/>
      <c r="X173" s="1084"/>
      <c r="Y173" s="1084"/>
      <c r="Z173" s="1084"/>
      <c r="AA173" s="1556"/>
      <c r="AB173" s="500"/>
      <c r="AC173" s="500"/>
      <c r="AD173" s="500"/>
      <c r="AE173" s="500"/>
      <c r="AF173" s="1565">
        <v>11</v>
      </c>
    </row>
    <row r="174" spans="1:32" s="1565" customFormat="1" ht="11.45" customHeight="1">
      <c r="A174" s="914"/>
      <c r="B174" s="1560"/>
      <c r="C174" s="1560"/>
      <c r="D174" s="285"/>
      <c r="K174" s="1084"/>
      <c r="L174" s="1560"/>
      <c r="M174" s="1560"/>
      <c r="N174" s="1084"/>
      <c r="O174" s="1084"/>
      <c r="P174" s="1084"/>
      <c r="Q174" s="1084"/>
      <c r="R174" s="1560"/>
      <c r="S174" s="1084"/>
      <c r="T174" s="1084"/>
      <c r="U174" s="478"/>
      <c r="V174" s="1084"/>
      <c r="W174" s="1084"/>
      <c r="X174" s="1084"/>
      <c r="Y174" s="1084"/>
      <c r="Z174" s="1084"/>
      <c r="AA174" s="1556"/>
      <c r="AB174" s="500"/>
      <c r="AC174" s="500"/>
      <c r="AD174" s="500"/>
      <c r="AE174" s="500"/>
      <c r="AF174" s="1565">
        <v>11</v>
      </c>
    </row>
    <row r="175" spans="1:32" s="1565" customFormat="1" ht="11.45" customHeight="1">
      <c r="A175" s="914"/>
      <c r="B175" s="1560"/>
      <c r="C175" s="1560"/>
      <c r="D175" s="285"/>
      <c r="K175" s="1084"/>
      <c r="L175" s="1560"/>
      <c r="M175" s="1560"/>
      <c r="N175" s="1084"/>
      <c r="O175" s="1084"/>
      <c r="P175" s="1084"/>
      <c r="Q175" s="1084"/>
      <c r="R175" s="1560"/>
      <c r="S175" s="1084"/>
      <c r="T175" s="1084"/>
      <c r="U175" s="478"/>
      <c r="V175" s="1084"/>
      <c r="W175" s="1084"/>
      <c r="X175" s="1084"/>
      <c r="Y175" s="1084"/>
      <c r="Z175" s="1084"/>
      <c r="AA175" s="1556"/>
      <c r="AB175" s="500"/>
      <c r="AC175" s="500"/>
      <c r="AD175" s="500"/>
      <c r="AE175" s="500"/>
      <c r="AF175" s="1565">
        <v>11</v>
      </c>
    </row>
    <row r="176" spans="1:32" s="1565" customFormat="1" ht="11.45" customHeight="1">
      <c r="A176" s="914"/>
      <c r="B176" s="1560"/>
      <c r="C176" s="1560"/>
      <c r="D176" s="285"/>
      <c r="K176" s="1084"/>
      <c r="L176" s="1560"/>
      <c r="M176" s="1560"/>
      <c r="N176" s="1084"/>
      <c r="O176" s="1084"/>
      <c r="P176" s="1084"/>
      <c r="Q176" s="1084"/>
      <c r="R176" s="1560"/>
      <c r="S176" s="1084"/>
      <c r="T176" s="1084"/>
      <c r="U176" s="478"/>
      <c r="V176" s="1084"/>
      <c r="W176" s="1084"/>
      <c r="X176" s="1084"/>
      <c r="Y176" s="1084"/>
      <c r="Z176" s="1084"/>
      <c r="AA176" s="1556"/>
      <c r="AB176" s="500"/>
      <c r="AC176" s="500"/>
      <c r="AD176" s="500"/>
      <c r="AE176" s="500"/>
      <c r="AF176" s="1565">
        <v>11</v>
      </c>
    </row>
    <row r="177" spans="1:32" s="1565" customFormat="1" ht="11.45" customHeight="1">
      <c r="A177" s="914"/>
      <c r="B177" s="1560"/>
      <c r="C177" s="1560"/>
      <c r="D177" s="285"/>
      <c r="K177" s="1084"/>
      <c r="L177" s="1560"/>
      <c r="M177" s="1560"/>
      <c r="N177" s="1084"/>
      <c r="O177" s="1084"/>
      <c r="P177" s="1084"/>
      <c r="Q177" s="1084"/>
      <c r="R177" s="1560"/>
      <c r="S177" s="1084"/>
      <c r="T177" s="1084"/>
      <c r="U177" s="478"/>
      <c r="V177" s="1084"/>
      <c r="W177" s="1084"/>
      <c r="X177" s="1084"/>
      <c r="Y177" s="1084"/>
      <c r="Z177" s="1084"/>
      <c r="AA177" s="1556"/>
      <c r="AB177" s="500"/>
      <c r="AC177" s="500"/>
      <c r="AD177" s="500"/>
      <c r="AE177" s="500"/>
      <c r="AF177" s="1565">
        <v>11</v>
      </c>
    </row>
    <row r="178" spans="1:32" s="1565" customFormat="1" ht="11.45" customHeight="1">
      <c r="A178" s="914"/>
      <c r="B178" s="1560"/>
      <c r="C178" s="1560"/>
      <c r="D178" s="285"/>
      <c r="K178" s="1084"/>
      <c r="L178" s="1560"/>
      <c r="M178" s="1560"/>
      <c r="N178" s="1084"/>
      <c r="O178" s="1084"/>
      <c r="P178" s="1084"/>
      <c r="Q178" s="1084"/>
      <c r="R178" s="1560"/>
      <c r="S178" s="1084"/>
      <c r="T178" s="1084"/>
      <c r="U178" s="478"/>
      <c r="V178" s="1084"/>
      <c r="W178" s="1084"/>
      <c r="X178" s="1084"/>
      <c r="Y178" s="1084"/>
      <c r="Z178" s="1084"/>
      <c r="AA178" s="1556"/>
      <c r="AB178" s="500"/>
      <c r="AC178" s="500"/>
      <c r="AD178" s="500"/>
      <c r="AE178" s="500"/>
      <c r="AF178" s="1565">
        <v>11</v>
      </c>
    </row>
    <row r="179" spans="1:32" s="1565" customFormat="1" ht="11.45" customHeight="1">
      <c r="A179" s="914"/>
      <c r="B179" s="1560"/>
      <c r="C179" s="1560"/>
      <c r="D179" s="285"/>
      <c r="K179" s="1084"/>
      <c r="L179" s="1560"/>
      <c r="M179" s="1560"/>
      <c r="N179" s="1084"/>
      <c r="O179" s="1084"/>
      <c r="P179" s="1084"/>
      <c r="Q179" s="1084"/>
      <c r="R179" s="1560"/>
      <c r="S179" s="1084"/>
      <c r="T179" s="1084"/>
      <c r="U179" s="478"/>
      <c r="V179" s="1084"/>
      <c r="W179" s="1084"/>
      <c r="X179" s="1084"/>
      <c r="Y179" s="1084"/>
      <c r="Z179" s="1084"/>
      <c r="AA179" s="1556"/>
      <c r="AB179" s="500"/>
      <c r="AC179" s="500"/>
      <c r="AD179" s="500"/>
      <c r="AE179" s="500"/>
      <c r="AF179" s="1565">
        <v>11</v>
      </c>
    </row>
    <row r="180" spans="1:32" s="1565" customFormat="1" ht="11.45" customHeight="1">
      <c r="A180" s="914"/>
      <c r="B180" s="1560"/>
      <c r="C180" s="1560"/>
      <c r="D180" s="285"/>
      <c r="K180" s="1084"/>
      <c r="L180" s="1560"/>
      <c r="M180" s="1560"/>
      <c r="N180" s="1084"/>
      <c r="O180" s="1084"/>
      <c r="P180" s="1084"/>
      <c r="Q180" s="1084"/>
      <c r="R180" s="1560"/>
      <c r="S180" s="1084"/>
      <c r="T180" s="1084"/>
      <c r="U180" s="478"/>
      <c r="V180" s="1084"/>
      <c r="W180" s="1084"/>
      <c r="X180" s="1084"/>
      <c r="Y180" s="1084"/>
      <c r="Z180" s="1084"/>
      <c r="AA180" s="1556"/>
      <c r="AB180" s="500"/>
      <c r="AC180" s="500"/>
      <c r="AD180" s="500"/>
      <c r="AE180" s="500"/>
      <c r="AF180" s="1565">
        <v>11</v>
      </c>
    </row>
    <row r="181" spans="1:32" s="1565" customFormat="1" ht="11.45" customHeight="1">
      <c r="A181" s="914"/>
      <c r="B181" s="1560"/>
      <c r="C181" s="1560"/>
      <c r="D181" s="285"/>
      <c r="K181" s="1084"/>
      <c r="L181" s="1560"/>
      <c r="M181" s="1560"/>
      <c r="N181" s="1084"/>
      <c r="O181" s="1084"/>
      <c r="P181" s="1084"/>
      <c r="Q181" s="1084"/>
      <c r="R181" s="1560"/>
      <c r="S181" s="1084"/>
      <c r="T181" s="1084"/>
      <c r="U181" s="478"/>
      <c r="V181" s="1084"/>
      <c r="W181" s="1084"/>
      <c r="X181" s="1084"/>
      <c r="Y181" s="1084"/>
      <c r="Z181" s="1084"/>
      <c r="AA181" s="1556"/>
      <c r="AB181" s="500"/>
      <c r="AC181" s="500"/>
      <c r="AD181" s="500"/>
      <c r="AE181" s="500"/>
      <c r="AF181" s="1565">
        <v>11</v>
      </c>
    </row>
    <row r="182" spans="1:32" s="1565" customFormat="1" ht="11.45" customHeight="1">
      <c r="A182" s="914"/>
      <c r="B182" s="1560"/>
      <c r="C182" s="1560"/>
      <c r="D182" s="285"/>
      <c r="K182" s="1084"/>
      <c r="L182" s="1560"/>
      <c r="M182" s="1560"/>
      <c r="N182" s="1084"/>
      <c r="O182" s="1084"/>
      <c r="P182" s="1084"/>
      <c r="Q182" s="1084"/>
      <c r="R182" s="1560"/>
      <c r="S182" s="1084"/>
      <c r="T182" s="1084"/>
      <c r="U182" s="478"/>
      <c r="V182" s="1084"/>
      <c r="W182" s="1084"/>
      <c r="X182" s="1084"/>
      <c r="Y182" s="1084"/>
      <c r="Z182" s="1084"/>
      <c r="AA182" s="1556"/>
      <c r="AB182" s="500"/>
      <c r="AC182" s="500"/>
      <c r="AD182" s="500"/>
      <c r="AE182" s="500"/>
      <c r="AF182" s="1565">
        <v>11</v>
      </c>
    </row>
    <row r="183" spans="1:32" s="1565" customFormat="1" ht="11.45" customHeight="1">
      <c r="A183" s="914"/>
      <c r="B183" s="1560"/>
      <c r="C183" s="1560"/>
      <c r="D183" s="285"/>
      <c r="K183" s="1084"/>
      <c r="L183" s="1560"/>
      <c r="M183" s="1560"/>
      <c r="N183" s="1084"/>
      <c r="O183" s="1084"/>
      <c r="P183" s="1084"/>
      <c r="Q183" s="1084"/>
      <c r="R183" s="1560"/>
      <c r="S183" s="1084"/>
      <c r="T183" s="1084"/>
      <c r="U183" s="478"/>
      <c r="V183" s="1084"/>
      <c r="W183" s="1084"/>
      <c r="X183" s="1084"/>
      <c r="Y183" s="1084"/>
      <c r="Z183" s="1084"/>
      <c r="AA183" s="1556"/>
      <c r="AB183" s="500"/>
      <c r="AC183" s="500"/>
      <c r="AD183" s="500"/>
      <c r="AE183" s="500"/>
      <c r="AF183" s="1565">
        <v>11</v>
      </c>
    </row>
    <row r="184" spans="1:32" s="1565" customFormat="1" ht="11.45" customHeight="1">
      <c r="A184" s="914"/>
      <c r="B184" s="1560"/>
      <c r="C184" s="1560"/>
      <c r="D184" s="285"/>
      <c r="K184" s="1084"/>
      <c r="L184" s="1560"/>
      <c r="M184" s="1560"/>
      <c r="N184" s="1084"/>
      <c r="O184" s="1084"/>
      <c r="P184" s="1084"/>
      <c r="Q184" s="1084"/>
      <c r="R184" s="1560"/>
      <c r="S184" s="1084"/>
      <c r="T184" s="1084"/>
      <c r="U184" s="478"/>
      <c r="V184" s="1084"/>
      <c r="W184" s="1084"/>
      <c r="X184" s="1084"/>
      <c r="Y184" s="1084"/>
      <c r="Z184" s="1084"/>
      <c r="AA184" s="1556"/>
      <c r="AB184" s="500"/>
      <c r="AC184" s="500"/>
      <c r="AD184" s="500"/>
      <c r="AE184" s="500"/>
      <c r="AF184" s="1565">
        <v>11</v>
      </c>
    </row>
    <row r="185" spans="1:32" s="1565" customFormat="1" ht="11.45" customHeight="1">
      <c r="A185" s="914"/>
      <c r="B185" s="1560"/>
      <c r="C185" s="1560"/>
      <c r="D185" s="285"/>
      <c r="K185" s="1084"/>
      <c r="L185" s="1560"/>
      <c r="M185" s="1560"/>
      <c r="N185" s="1084"/>
      <c r="O185" s="1084"/>
      <c r="P185" s="1084"/>
      <c r="Q185" s="1084"/>
      <c r="R185" s="1560"/>
      <c r="S185" s="1084"/>
      <c r="T185" s="1084"/>
      <c r="U185" s="478"/>
      <c r="V185" s="1084"/>
      <c r="W185" s="1084"/>
      <c r="X185" s="1084"/>
      <c r="Y185" s="1084"/>
      <c r="Z185" s="1084"/>
      <c r="AA185" s="1556"/>
      <c r="AB185" s="500"/>
      <c r="AC185" s="500"/>
      <c r="AD185" s="500"/>
      <c r="AE185" s="500"/>
      <c r="AF185" s="1565">
        <v>11</v>
      </c>
    </row>
    <row r="186" spans="1:32" s="1565" customFormat="1" ht="11.45" customHeight="1">
      <c r="A186" s="914"/>
      <c r="B186" s="1560"/>
      <c r="C186" s="1560"/>
      <c r="D186" s="285"/>
      <c r="K186" s="1084"/>
      <c r="L186" s="1560"/>
      <c r="M186" s="1560"/>
      <c r="N186" s="1084"/>
      <c r="O186" s="1084"/>
      <c r="P186" s="1084"/>
      <c r="Q186" s="1084"/>
      <c r="R186" s="1560"/>
      <c r="S186" s="1084"/>
      <c r="T186" s="1084"/>
      <c r="U186" s="478"/>
      <c r="V186" s="1084"/>
      <c r="W186" s="1084"/>
      <c r="X186" s="1084"/>
      <c r="Y186" s="1084"/>
      <c r="Z186" s="1084"/>
      <c r="AA186" s="1556"/>
      <c r="AB186" s="500"/>
      <c r="AC186" s="500"/>
      <c r="AD186" s="500"/>
      <c r="AE186" s="500"/>
      <c r="AF186" s="1565">
        <v>11</v>
      </c>
    </row>
    <row r="187" spans="1:32" s="1565" customFormat="1" ht="11.45" customHeight="1">
      <c r="A187" s="914"/>
      <c r="B187" s="1560"/>
      <c r="C187" s="1560"/>
      <c r="D187" s="285"/>
      <c r="K187" s="1084"/>
      <c r="L187" s="1560"/>
      <c r="M187" s="1560"/>
      <c r="N187" s="1084"/>
      <c r="O187" s="1084"/>
      <c r="P187" s="1084"/>
      <c r="Q187" s="1084"/>
      <c r="R187" s="1560"/>
      <c r="S187" s="1084"/>
      <c r="T187" s="1084"/>
      <c r="U187" s="478"/>
      <c r="V187" s="1084"/>
      <c r="W187" s="1084"/>
      <c r="X187" s="1084"/>
      <c r="Y187" s="1084"/>
      <c r="Z187" s="1084"/>
      <c r="AA187" s="1556"/>
      <c r="AB187" s="500"/>
      <c r="AC187" s="500"/>
      <c r="AD187" s="500"/>
      <c r="AE187" s="500"/>
      <c r="AF187" s="1565">
        <v>11</v>
      </c>
    </row>
    <row r="188" spans="1:32" s="1565" customFormat="1" ht="11.45" customHeight="1">
      <c r="A188" s="914"/>
      <c r="B188" s="1560"/>
      <c r="C188" s="1560"/>
      <c r="D188" s="285"/>
      <c r="K188" s="1084"/>
      <c r="L188" s="1560"/>
      <c r="M188" s="1560"/>
      <c r="N188" s="1084"/>
      <c r="O188" s="1084"/>
      <c r="P188" s="1084"/>
      <c r="Q188" s="1084"/>
      <c r="R188" s="1560"/>
      <c r="S188" s="1084"/>
      <c r="T188" s="1084"/>
      <c r="U188" s="478"/>
      <c r="V188" s="1084"/>
      <c r="W188" s="1084"/>
      <c r="X188" s="1084"/>
      <c r="Y188" s="1084"/>
      <c r="Z188" s="1084"/>
      <c r="AA188" s="1556"/>
      <c r="AB188" s="500"/>
      <c r="AC188" s="500"/>
      <c r="AD188" s="500"/>
      <c r="AE188" s="500"/>
      <c r="AF188" s="1565">
        <v>11</v>
      </c>
    </row>
    <row r="189" spans="1:32" s="1565" customFormat="1" ht="11.45" customHeight="1">
      <c r="A189" s="914"/>
      <c r="B189" s="1560"/>
      <c r="C189" s="1560"/>
      <c r="D189" s="285"/>
      <c r="K189" s="1084"/>
      <c r="L189" s="1560"/>
      <c r="M189" s="1560"/>
      <c r="N189" s="1084"/>
      <c r="O189" s="1084"/>
      <c r="P189" s="1084"/>
      <c r="Q189" s="1084"/>
      <c r="R189" s="1560"/>
      <c r="S189" s="1084"/>
      <c r="T189" s="1084"/>
      <c r="U189" s="478"/>
      <c r="V189" s="1084"/>
      <c r="W189" s="1084"/>
      <c r="X189" s="1084"/>
      <c r="Y189" s="1084"/>
      <c r="Z189" s="1084"/>
      <c r="AA189" s="1556"/>
      <c r="AB189" s="500"/>
      <c r="AC189" s="500"/>
      <c r="AD189" s="500"/>
      <c r="AE189" s="500"/>
      <c r="AF189" s="1565">
        <v>11</v>
      </c>
    </row>
    <row r="190" spans="1:32" s="1565" customFormat="1" ht="11.45" customHeight="1">
      <c r="A190" s="914"/>
      <c r="B190" s="1560"/>
      <c r="C190" s="1560"/>
      <c r="D190" s="285"/>
      <c r="K190" s="1084"/>
      <c r="L190" s="1560"/>
      <c r="M190" s="1560"/>
      <c r="N190" s="1084"/>
      <c r="O190" s="1084"/>
      <c r="P190" s="1084"/>
      <c r="Q190" s="1084"/>
      <c r="R190" s="1560"/>
      <c r="S190" s="1084"/>
      <c r="T190" s="1084"/>
      <c r="U190" s="478"/>
      <c r="V190" s="1084"/>
      <c r="W190" s="1084"/>
      <c r="X190" s="1084"/>
      <c r="Y190" s="1084"/>
      <c r="Z190" s="1084"/>
      <c r="AA190" s="1556"/>
      <c r="AB190" s="500"/>
      <c r="AC190" s="500"/>
      <c r="AD190" s="500"/>
      <c r="AE190" s="500"/>
      <c r="AF190" s="1565">
        <v>11</v>
      </c>
    </row>
    <row r="191" spans="1:32" s="1565" customFormat="1" ht="11.45" customHeight="1">
      <c r="A191" s="914"/>
      <c r="B191" s="1560"/>
      <c r="C191" s="1560"/>
      <c r="D191" s="285"/>
      <c r="K191" s="1084"/>
      <c r="L191" s="1560"/>
      <c r="M191" s="1560"/>
      <c r="N191" s="1084"/>
      <c r="O191" s="1084"/>
      <c r="P191" s="1084"/>
      <c r="Q191" s="1084"/>
      <c r="R191" s="1560"/>
      <c r="S191" s="1084"/>
      <c r="T191" s="1084"/>
      <c r="U191" s="478"/>
      <c r="V191" s="1084"/>
      <c r="W191" s="1084"/>
      <c r="X191" s="1084"/>
      <c r="Y191" s="1084"/>
      <c r="Z191" s="1084"/>
      <c r="AA191" s="1556"/>
      <c r="AB191" s="500"/>
      <c r="AC191" s="500"/>
      <c r="AD191" s="500"/>
      <c r="AE191" s="500"/>
      <c r="AF191" s="1565">
        <v>11</v>
      </c>
    </row>
    <row r="192" spans="1:32" s="1565" customFormat="1" ht="11.45" customHeight="1">
      <c r="A192" s="914"/>
      <c r="B192" s="1560"/>
      <c r="C192" s="1560"/>
      <c r="D192" s="285"/>
      <c r="K192" s="1084"/>
      <c r="L192" s="1560"/>
      <c r="M192" s="1560"/>
      <c r="N192" s="1084"/>
      <c r="O192" s="1084"/>
      <c r="P192" s="1084"/>
      <c r="Q192" s="1084"/>
      <c r="R192" s="1560"/>
      <c r="S192" s="1084"/>
      <c r="T192" s="1084"/>
      <c r="U192" s="478"/>
      <c r="V192" s="1084"/>
      <c r="W192" s="1084"/>
      <c r="X192" s="1084"/>
      <c r="Y192" s="1084"/>
      <c r="Z192" s="1084"/>
      <c r="AA192" s="1556"/>
      <c r="AB192" s="500"/>
      <c r="AC192" s="500"/>
      <c r="AD192" s="500"/>
      <c r="AE192" s="500"/>
      <c r="AF192" s="1565">
        <v>11</v>
      </c>
    </row>
    <row r="193" spans="1:32" s="1565" customFormat="1" ht="11.45" customHeight="1">
      <c r="A193" s="914"/>
      <c r="B193" s="1560"/>
      <c r="C193" s="1560"/>
      <c r="D193" s="285"/>
      <c r="K193" s="1084"/>
      <c r="L193" s="1560"/>
      <c r="M193" s="1560"/>
      <c r="N193" s="1084"/>
      <c r="O193" s="1084"/>
      <c r="P193" s="1084"/>
      <c r="Q193" s="1084"/>
      <c r="R193" s="1560"/>
      <c r="S193" s="1084"/>
      <c r="T193" s="1084"/>
      <c r="U193" s="478"/>
      <c r="V193" s="1084"/>
      <c r="W193" s="1084"/>
      <c r="X193" s="1084"/>
      <c r="Y193" s="1084"/>
      <c r="Z193" s="1084"/>
      <c r="AA193" s="1556"/>
      <c r="AB193" s="500"/>
      <c r="AC193" s="500"/>
      <c r="AD193" s="500"/>
      <c r="AE193" s="500"/>
      <c r="AF193" s="1565">
        <v>11</v>
      </c>
    </row>
    <row r="194" spans="1:32" s="1565" customFormat="1" ht="11.45" customHeight="1">
      <c r="A194" s="914"/>
      <c r="B194" s="1560"/>
      <c r="C194" s="1560"/>
      <c r="D194" s="285"/>
      <c r="K194" s="1084"/>
      <c r="L194" s="1560"/>
      <c r="M194" s="1560"/>
      <c r="N194" s="1084"/>
      <c r="O194" s="1084"/>
      <c r="P194" s="1084"/>
      <c r="Q194" s="1084"/>
      <c r="R194" s="1560"/>
      <c r="S194" s="1084"/>
      <c r="T194" s="1084"/>
      <c r="U194" s="478"/>
      <c r="V194" s="1084"/>
      <c r="W194" s="1084"/>
      <c r="X194" s="1084"/>
      <c r="Y194" s="1084"/>
      <c r="Z194" s="1084"/>
      <c r="AA194" s="1556"/>
      <c r="AB194" s="500"/>
      <c r="AC194" s="500"/>
      <c r="AD194" s="500"/>
      <c r="AE194" s="500"/>
      <c r="AF194" s="1565">
        <v>11</v>
      </c>
    </row>
    <row r="195" spans="1:32" s="1565" customFormat="1" ht="11.45" customHeight="1">
      <c r="A195" s="914"/>
      <c r="B195" s="1560"/>
      <c r="C195" s="1560"/>
      <c r="D195" s="285"/>
      <c r="K195" s="1084"/>
      <c r="L195" s="1560"/>
      <c r="M195" s="1560"/>
      <c r="N195" s="1084"/>
      <c r="O195" s="1084"/>
      <c r="P195" s="1084"/>
      <c r="Q195" s="1084"/>
      <c r="R195" s="1560"/>
      <c r="S195" s="1084"/>
      <c r="T195" s="1084"/>
      <c r="U195" s="478"/>
      <c r="V195" s="1084"/>
      <c r="W195" s="1084"/>
      <c r="X195" s="1084"/>
      <c r="Y195" s="1084"/>
      <c r="Z195" s="1084"/>
      <c r="AA195" s="1556"/>
      <c r="AB195" s="500"/>
      <c r="AC195" s="500"/>
      <c r="AD195" s="500"/>
      <c r="AE195" s="500"/>
      <c r="AF195" s="1565">
        <v>11</v>
      </c>
    </row>
    <row r="196" spans="1:32" s="1565" customFormat="1" ht="11.45" customHeight="1">
      <c r="A196" s="914"/>
      <c r="B196" s="1560"/>
      <c r="C196" s="1560"/>
      <c r="D196" s="285"/>
      <c r="K196" s="1084"/>
      <c r="L196" s="1560"/>
      <c r="M196" s="1560"/>
      <c r="N196" s="1084"/>
      <c r="O196" s="1084"/>
      <c r="P196" s="1084"/>
      <c r="Q196" s="1084"/>
      <c r="R196" s="1560"/>
      <c r="S196" s="1084"/>
      <c r="T196" s="1084"/>
      <c r="U196" s="478"/>
      <c r="V196" s="1084"/>
      <c r="W196" s="1084"/>
      <c r="X196" s="1084"/>
      <c r="Y196" s="1084"/>
      <c r="Z196" s="1084"/>
      <c r="AA196" s="1556"/>
      <c r="AB196" s="500"/>
      <c r="AC196" s="500"/>
      <c r="AD196" s="500"/>
      <c r="AE196" s="500"/>
      <c r="AF196" s="1565">
        <v>11</v>
      </c>
    </row>
    <row r="197" spans="1:32" s="1565" customFormat="1" ht="11.45" customHeight="1">
      <c r="A197" s="914"/>
      <c r="B197" s="1560"/>
      <c r="C197" s="1560"/>
      <c r="D197" s="285"/>
      <c r="K197" s="1084"/>
      <c r="L197" s="1560"/>
      <c r="M197" s="1560"/>
      <c r="N197" s="1084"/>
      <c r="O197" s="1084"/>
      <c r="P197" s="1084"/>
      <c r="Q197" s="1084"/>
      <c r="R197" s="1560"/>
      <c r="S197" s="1084"/>
      <c r="T197" s="1084"/>
      <c r="U197" s="478"/>
      <c r="V197" s="1084"/>
      <c r="W197" s="1084"/>
      <c r="X197" s="1084"/>
      <c r="Y197" s="1084"/>
      <c r="Z197" s="1084"/>
      <c r="AA197" s="1556"/>
      <c r="AB197" s="500"/>
      <c r="AC197" s="500"/>
      <c r="AD197" s="500"/>
      <c r="AE197" s="500"/>
      <c r="AF197" s="1565">
        <v>11</v>
      </c>
    </row>
    <row r="198" spans="1:32" s="1565" customFormat="1" ht="11.45" customHeight="1">
      <c r="A198" s="914"/>
      <c r="B198" s="1560"/>
      <c r="C198" s="1560"/>
      <c r="D198" s="285"/>
      <c r="K198" s="1084"/>
      <c r="L198" s="1560"/>
      <c r="M198" s="1560"/>
      <c r="N198" s="1084"/>
      <c r="O198" s="1084"/>
      <c r="P198" s="1084"/>
      <c r="Q198" s="1084"/>
      <c r="R198" s="1560"/>
      <c r="S198" s="1084"/>
      <c r="T198" s="1084"/>
      <c r="U198" s="478"/>
      <c r="V198" s="1084"/>
      <c r="W198" s="1084"/>
      <c r="X198" s="1084"/>
      <c r="Y198" s="1084"/>
      <c r="Z198" s="1084"/>
      <c r="AA198" s="1556"/>
      <c r="AB198" s="500"/>
      <c r="AC198" s="500"/>
      <c r="AD198" s="500"/>
      <c r="AE198" s="500"/>
      <c r="AF198" s="1565">
        <v>11</v>
      </c>
    </row>
    <row r="199" spans="1:32" s="1565" customFormat="1" ht="11.45" customHeight="1">
      <c r="A199" s="914"/>
      <c r="B199" s="1560"/>
      <c r="C199" s="1560"/>
      <c r="D199" s="285"/>
      <c r="K199" s="1084"/>
      <c r="L199" s="1560"/>
      <c r="M199" s="1560"/>
      <c r="N199" s="1084"/>
      <c r="O199" s="1084"/>
      <c r="P199" s="1084"/>
      <c r="Q199" s="1084"/>
      <c r="R199" s="1560"/>
      <c r="S199" s="1084"/>
      <c r="T199" s="1084"/>
      <c r="U199" s="478"/>
      <c r="V199" s="1084"/>
      <c r="W199" s="1084"/>
      <c r="X199" s="1084"/>
      <c r="Y199" s="1084"/>
      <c r="Z199" s="1084"/>
      <c r="AA199" s="1556"/>
      <c r="AB199" s="500"/>
      <c r="AC199" s="500"/>
      <c r="AD199" s="500"/>
      <c r="AE199" s="500"/>
      <c r="AF199" s="1565">
        <v>11</v>
      </c>
    </row>
    <row r="200" spans="1:32" s="1565" customFormat="1" ht="11.45" customHeight="1">
      <c r="A200" s="914"/>
      <c r="B200" s="1560"/>
      <c r="C200" s="1560"/>
      <c r="D200" s="285"/>
      <c r="K200" s="1084"/>
      <c r="L200" s="1560"/>
      <c r="M200" s="1560"/>
      <c r="N200" s="1084"/>
      <c r="O200" s="1084"/>
      <c r="P200" s="1084"/>
      <c r="Q200" s="1084"/>
      <c r="R200" s="1560"/>
      <c r="S200" s="1084"/>
      <c r="T200" s="1084"/>
      <c r="U200" s="478"/>
      <c r="V200" s="1084"/>
      <c r="W200" s="1084"/>
      <c r="X200" s="1084"/>
      <c r="Y200" s="1084"/>
      <c r="Z200" s="1084"/>
      <c r="AA200" s="1556"/>
      <c r="AB200" s="500"/>
      <c r="AC200" s="500"/>
      <c r="AD200" s="500"/>
      <c r="AE200" s="500"/>
      <c r="AF200" s="1565">
        <v>11</v>
      </c>
    </row>
    <row r="201" spans="1:32" s="1565" customFormat="1" ht="11.45" customHeight="1">
      <c r="A201" s="914"/>
      <c r="B201" s="1560"/>
      <c r="C201" s="1560"/>
      <c r="D201" s="285"/>
      <c r="K201" s="1084"/>
      <c r="L201" s="1560"/>
      <c r="M201" s="1560"/>
      <c r="N201" s="1084"/>
      <c r="O201" s="1084"/>
      <c r="P201" s="1084"/>
      <c r="Q201" s="1084"/>
      <c r="R201" s="1560"/>
      <c r="S201" s="1084"/>
      <c r="T201" s="1084"/>
      <c r="U201" s="478"/>
      <c r="V201" s="1084"/>
      <c r="W201" s="1084"/>
      <c r="X201" s="1084"/>
      <c r="Y201" s="1084"/>
      <c r="Z201" s="1084"/>
      <c r="AA201" s="1556"/>
      <c r="AB201" s="500"/>
      <c r="AC201" s="500"/>
      <c r="AD201" s="500"/>
      <c r="AE201" s="500"/>
      <c r="AF201" s="1565">
        <v>11</v>
      </c>
    </row>
    <row r="202" spans="1:32" s="1565" customFormat="1" ht="11.45" customHeight="1">
      <c r="A202" s="914"/>
      <c r="B202" s="1560"/>
      <c r="C202" s="1560"/>
      <c r="D202" s="285"/>
      <c r="K202" s="1084"/>
      <c r="L202" s="1560"/>
      <c r="M202" s="1560"/>
      <c r="N202" s="1084"/>
      <c r="O202" s="1084"/>
      <c r="P202" s="1084"/>
      <c r="Q202" s="1084"/>
      <c r="R202" s="1560"/>
      <c r="S202" s="1084"/>
      <c r="T202" s="1084"/>
      <c r="U202" s="478"/>
      <c r="V202" s="1084"/>
      <c r="W202" s="1084"/>
      <c r="X202" s="1084"/>
      <c r="Y202" s="1084"/>
      <c r="Z202" s="1084"/>
      <c r="AA202" s="1556"/>
      <c r="AB202" s="500"/>
      <c r="AC202" s="500"/>
      <c r="AD202" s="500"/>
      <c r="AE202" s="500"/>
      <c r="AF202" s="1565">
        <v>11</v>
      </c>
    </row>
    <row r="203" spans="1:32" ht="11.45" customHeight="1">
      <c r="AF203" s="1555">
        <v>11</v>
      </c>
    </row>
    <row r="204" spans="1:32" ht="11.45" customHeight="1">
      <c r="AF204" s="1555">
        <v>11</v>
      </c>
    </row>
    <row r="205" spans="1:32" ht="11.45" customHeight="1">
      <c r="AF205" s="1555">
        <v>11</v>
      </c>
    </row>
    <row r="206" spans="1:32" ht="11.45" customHeight="1">
      <c r="A206" s="917"/>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7"/>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7"/>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7"/>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7"/>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7"/>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7"/>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7"/>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7"/>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45" customHeight="1">
      <c r="A215" s="917"/>
      <c r="B215" s="1555"/>
      <c r="D215" s="1555"/>
      <c r="K215" s="1555"/>
      <c r="N215" s="1555"/>
      <c r="O215" s="1555"/>
      <c r="P215" s="1555"/>
      <c r="Q215" s="1555"/>
      <c r="S215" s="1555"/>
      <c r="T215" s="1555"/>
      <c r="U215" s="1555"/>
      <c r="V215" s="1555"/>
      <c r="W215" s="1555"/>
      <c r="X215" s="1555"/>
      <c r="Y215" s="1555"/>
      <c r="Z215" s="1555"/>
      <c r="AA215" s="1555"/>
      <c r="AB215" s="1555"/>
      <c r="AC215" s="1555"/>
      <c r="AD215" s="1555"/>
      <c r="AE215" s="1555"/>
      <c r="AF215" s="1555">
        <v>11</v>
      </c>
    </row>
    <row r="216" spans="1:32" ht="11.45" customHeight="1">
      <c r="A216" s="917"/>
      <c r="B216" s="1555"/>
      <c r="D216" s="1555"/>
      <c r="K216" s="1555"/>
      <c r="N216" s="1555"/>
      <c r="O216" s="1555"/>
      <c r="P216" s="1555"/>
      <c r="Q216" s="1555"/>
      <c r="S216" s="1555"/>
      <c r="T216" s="1555"/>
      <c r="U216" s="1555"/>
      <c r="V216" s="1555"/>
      <c r="W216" s="1555"/>
      <c r="X216" s="1555"/>
      <c r="Y216" s="1555"/>
      <c r="Z216" s="1555"/>
      <c r="AA216" s="1555"/>
      <c r="AB216" s="1555"/>
      <c r="AC216" s="1555"/>
      <c r="AD216" s="1555"/>
      <c r="AE216" s="1555"/>
      <c r="AF216" s="1555">
        <v>11</v>
      </c>
    </row>
    <row r="217" spans="1:32" ht="11.25" hidden="1" customHeight="1">
      <c r="A217" s="914" t="s">
        <v>69</v>
      </c>
      <c r="B217" s="1084">
        <v>0</v>
      </c>
      <c r="C217" s="1560">
        <v>0</v>
      </c>
      <c r="D217" s="1559">
        <v>3</v>
      </c>
      <c r="E217" s="1555">
        <v>7</v>
      </c>
      <c r="F217" s="1555">
        <v>56</v>
      </c>
      <c r="G217" s="1555">
        <v>10</v>
      </c>
      <c r="H217" s="1555">
        <v>0</v>
      </c>
      <c r="I217" s="1555">
        <v>40</v>
      </c>
      <c r="J217" s="1555">
        <v>102</v>
      </c>
      <c r="K217" s="1084">
        <v>9</v>
      </c>
      <c r="L217" s="1560">
        <v>5</v>
      </c>
      <c r="M217" s="1560">
        <v>3</v>
      </c>
      <c r="N217" s="1084">
        <v>3</v>
      </c>
      <c r="O217" s="1084">
        <v>3</v>
      </c>
      <c r="P217" s="1084">
        <v>3</v>
      </c>
      <c r="Q217" s="1084">
        <v>3</v>
      </c>
      <c r="R217" s="1560">
        <v>10</v>
      </c>
      <c r="S217" s="1084">
        <v>34</v>
      </c>
      <c r="T217" s="1084">
        <v>9</v>
      </c>
      <c r="U217" s="478">
        <v>8</v>
      </c>
      <c r="V217" s="1084">
        <v>8</v>
      </c>
      <c r="W217" s="1084">
        <v>8</v>
      </c>
      <c r="X217" s="1084">
        <v>8</v>
      </c>
      <c r="Y217" s="1084">
        <v>8</v>
      </c>
      <c r="Z217" s="1084">
        <v>8</v>
      </c>
      <c r="AA217" s="1556">
        <v>8</v>
      </c>
      <c r="AB217" s="1556">
        <v>8</v>
      </c>
      <c r="AC217" s="1556">
        <v>8</v>
      </c>
      <c r="AD217" s="1556">
        <v>8</v>
      </c>
      <c r="AE217" s="1556">
        <v>8</v>
      </c>
      <c r="AF217" s="1555">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4"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0" customWidth="1"/>
    <col min="22" max="26" width="8" style="1290" customWidth="1"/>
    <col min="27" max="31" width="8" style="1556" customWidth="1"/>
    <col min="32" max="32" width="9.140625" style="1559" hidden="1"/>
  </cols>
  <sheetData>
    <row r="1" spans="1:32" s="1290" customFormat="1" ht="22.5" hidden="1" customHeight="1">
      <c r="A1" s="914"/>
      <c r="C1" s="1560"/>
      <c r="D1" s="471"/>
      <c r="H1" s="1084">
        <v>4</v>
      </c>
      <c r="I1" s="1084">
        <v>4</v>
      </c>
      <c r="L1" s="1560"/>
      <c r="M1" s="1560"/>
      <c r="R1" s="1560"/>
      <c r="AF1" s="1084" t="s">
        <v>1</v>
      </c>
    </row>
    <row r="2" spans="1:32" s="1290" customFormat="1" ht="22.5" hidden="1" customHeight="1">
      <c r="A2" s="914"/>
      <c r="C2" s="1560"/>
      <c r="D2" s="472"/>
      <c r="E2" s="1582"/>
      <c r="F2" s="474"/>
      <c r="G2" s="1581" t="s">
        <v>761</v>
      </c>
      <c r="H2" s="475"/>
      <c r="I2" s="475"/>
      <c r="J2" s="476" t="s">
        <v>764</v>
      </c>
      <c r="K2" s="477"/>
      <c r="L2" s="1560"/>
      <c r="M2" s="1560"/>
      <c r="R2" s="1560"/>
      <c r="U2" s="478"/>
      <c r="AA2" s="1556"/>
      <c r="AB2" s="1556"/>
      <c r="AC2" s="1556"/>
      <c r="AD2" s="1556"/>
      <c r="AE2" s="1556"/>
      <c r="AF2" s="1084">
        <v>0</v>
      </c>
    </row>
    <row r="3" spans="1:32" ht="11.25" hidden="1" customHeight="1">
      <c r="AF3" s="1555">
        <v>0</v>
      </c>
    </row>
    <row r="4" spans="1:32" s="1556" customFormat="1" ht="11.25" hidden="1" customHeight="1">
      <c r="A4" s="914"/>
      <c r="B4" s="1084"/>
      <c r="C4" s="1560"/>
      <c r="D4" s="296"/>
      <c r="J4" s="1556">
        <v>4</v>
      </c>
      <c r="K4" s="1084"/>
      <c r="L4" s="1560"/>
      <c r="M4" s="1560"/>
      <c r="N4" s="1084"/>
      <c r="O4" s="1084"/>
      <c r="P4" s="1084"/>
      <c r="Q4" s="1084"/>
      <c r="R4" s="1560"/>
      <c r="S4" s="1084"/>
      <c r="T4" s="1084"/>
      <c r="U4" s="478"/>
      <c r="V4" s="1084"/>
      <c r="W4" s="1084"/>
      <c r="X4" s="1084"/>
      <c r="Y4" s="1084"/>
      <c r="Z4" s="1084"/>
      <c r="AF4" s="1556">
        <v>0</v>
      </c>
    </row>
    <row r="5" spans="1:32" ht="11.45" customHeight="1">
      <c r="AF5" s="1555">
        <v>11</v>
      </c>
    </row>
    <row r="6" spans="1:32" ht="33.75" customHeight="1">
      <c r="E6" s="4014" t="s">
        <v>983</v>
      </c>
      <c r="F6" s="4014"/>
      <c r="G6" s="4014"/>
      <c r="H6" s="4014"/>
      <c r="I6" s="4014"/>
      <c r="J6" s="490"/>
      <c r="AF6" s="1555">
        <v>32</v>
      </c>
    </row>
    <row r="7" spans="1:32" ht="25.15" customHeight="1">
      <c r="E7" s="3987" t="str">
        <f>IF(org=0,"Не определено",org)</f>
        <v>ООО "Смоленскрегионтеплоэнерго"</v>
      </c>
      <c r="F7" s="3987"/>
      <c r="G7" s="3987"/>
      <c r="H7" s="3987"/>
      <c r="I7" s="3987"/>
      <c r="AF7" s="1555">
        <v>24</v>
      </c>
    </row>
    <row r="8" spans="1:32" ht="11.45" customHeight="1">
      <c r="E8" s="1059"/>
      <c r="F8" s="1059"/>
      <c r="G8" s="1059"/>
      <c r="H8" s="1059"/>
      <c r="I8" s="1059"/>
      <c r="AF8" s="1555">
        <v>11</v>
      </c>
    </row>
    <row r="9" spans="1:32" s="1566" customFormat="1" ht="1.1499999999999999" customHeight="1">
      <c r="A9" s="1091"/>
      <c r="H9" s="816"/>
      <c r="I9" s="816" t="s">
        <v>189</v>
      </c>
      <c r="AF9" s="1560">
        <v>1</v>
      </c>
    </row>
    <row r="10" spans="1:32" ht="11.45" customHeight="1">
      <c r="E10" s="645"/>
      <c r="F10" s="4120" t="s">
        <v>180</v>
      </c>
      <c r="G10" s="4121"/>
      <c r="H10" s="1583" t="str">
        <f>IF(H9="","",INDEX(DIFFERENTIATION_UNMERGE_VD,MATCH(H9,DIFFERENTIATION_ID_DIFF,0)))</f>
        <v/>
      </c>
      <c r="I10" s="1583">
        <f>IF(I9="","",INDEX(DIFFERENTIATION_UNMERGE_VD,MATCH(I9,DIFFERENTIATION_ID_DIFF,0)))</f>
        <v>0</v>
      </c>
      <c r="J10" s="3889"/>
      <c r="AF10" s="1555">
        <v>11</v>
      </c>
    </row>
    <row r="11" spans="1:32" ht="11.45" customHeight="1">
      <c r="E11" s="645"/>
      <c r="F11" s="4120" t="s">
        <v>773</v>
      </c>
      <c r="G11" s="4121"/>
      <c r="H11" s="1583" t="str">
        <f>IF(H9="","",INDEX(DIFFERENTIATION_UNMERGE_AREA,MATCH(H9,DIFFERENTIATION_ID_DIFF,0)))</f>
        <v/>
      </c>
      <c r="I11" s="1583" t="str">
        <f>IF(I9="","",INDEX(DIFFERENTIATION_UNMERGE_AREA,MATCH(I9,DIFFERENTIATION_ID_DIFF,0)))</f>
        <v/>
      </c>
      <c r="J11" s="3889"/>
      <c r="AF11" s="1555">
        <v>11</v>
      </c>
    </row>
    <row r="12" spans="1:32" ht="11.25" hidden="1" customHeight="1">
      <c r="E12" s="1586"/>
      <c r="F12" s="4138" t="s">
        <v>774</v>
      </c>
      <c r="G12" s="4139"/>
      <c r="H12" s="1587" t="str">
        <f>IF(H9="","",INDEX(DIFFERENTIATION_UNMERGE_SYSTEM,MATCH(H9,DIFFERENTIATION_ID_DIFF,0)))</f>
        <v/>
      </c>
      <c r="I12" s="1587" t="str">
        <f>IF(I9="","",INDEX(DIFFERENTIATION_UNMERGE_SYSTEM,MATCH(I9,DIFFERENTIATION_ID_DIFF,0)))</f>
        <v>без дифференциации</v>
      </c>
      <c r="J12" s="3889"/>
      <c r="AF12" s="1555">
        <v>0</v>
      </c>
    </row>
    <row r="13" spans="1:32" ht="11.45" customHeight="1">
      <c r="E13" s="4122" t="s">
        <v>508</v>
      </c>
      <c r="F13" s="4123"/>
      <c r="G13" s="4123"/>
      <c r="H13" s="1580"/>
      <c r="I13" s="1580"/>
      <c r="J13" s="3889"/>
      <c r="AF13" s="1555">
        <v>11</v>
      </c>
    </row>
    <row r="14" spans="1:32" ht="24" customHeight="1">
      <c r="E14" s="1581" t="s">
        <v>75</v>
      </c>
      <c r="F14" s="1584" t="s">
        <v>510</v>
      </c>
      <c r="G14" s="1584" t="s">
        <v>775</v>
      </c>
      <c r="H14" s="1584" t="s">
        <v>511</v>
      </c>
      <c r="I14" s="1584" t="s">
        <v>511</v>
      </c>
      <c r="J14" s="3889"/>
      <c r="AF14" s="1555">
        <v>23</v>
      </c>
    </row>
    <row r="15" spans="1:32" ht="19.899999999999999" customHeight="1">
      <c r="D15" s="1562"/>
      <c r="E15" s="1554" t="s">
        <v>184</v>
      </c>
      <c r="F15" s="641" t="s">
        <v>984</v>
      </c>
      <c r="G15" s="1581" t="s">
        <v>761</v>
      </c>
      <c r="H15" s="491"/>
      <c r="I15" s="491"/>
      <c r="J15" s="224" t="s">
        <v>985</v>
      </c>
      <c r="K15" s="477" t="s">
        <v>839</v>
      </c>
      <c r="AF15" s="1555">
        <v>19</v>
      </c>
    </row>
    <row r="16" spans="1:32" ht="24" customHeight="1">
      <c r="D16" s="1562"/>
      <c r="E16" s="1554" t="s">
        <v>89</v>
      </c>
      <c r="F16" s="1589" t="s">
        <v>986</v>
      </c>
      <c r="G16" s="1581" t="s">
        <v>761</v>
      </c>
      <c r="H16" s="492">
        <f>SUM(H17,H20:H27)</f>
        <v>0</v>
      </c>
      <c r="I16" s="492">
        <f>SUM(I17,I20:I27)</f>
        <v>0</v>
      </c>
      <c r="J16" s="224" t="s">
        <v>987</v>
      </c>
      <c r="K16" s="477" t="s">
        <v>839</v>
      </c>
      <c r="AF16" s="1555">
        <v>23</v>
      </c>
    </row>
    <row r="17" spans="1:32" ht="35.65" customHeight="1">
      <c r="D17" s="1562"/>
      <c r="E17" s="1588" t="s">
        <v>917</v>
      </c>
      <c r="F17" s="1591" t="s">
        <v>988</v>
      </c>
      <c r="G17" s="1578" t="s">
        <v>761</v>
      </c>
      <c r="H17" s="491"/>
      <c r="I17" s="491"/>
      <c r="J17" s="224" t="s">
        <v>989</v>
      </c>
      <c r="K17" s="477"/>
      <c r="AF17" s="1555">
        <v>34</v>
      </c>
    </row>
    <row r="18" spans="1:32" ht="19.899999999999999" customHeight="1">
      <c r="D18" s="1562"/>
      <c r="E18" s="1588" t="s">
        <v>920</v>
      </c>
      <c r="F18" s="1592" t="s">
        <v>990</v>
      </c>
      <c r="G18" s="1578" t="s">
        <v>761</v>
      </c>
      <c r="H18" s="491"/>
      <c r="I18" s="491"/>
      <c r="J18" s="224"/>
      <c r="K18" s="477"/>
      <c r="AF18" s="1555">
        <v>19</v>
      </c>
    </row>
    <row r="19" spans="1:32" ht="24" customHeight="1">
      <c r="D19" s="1562"/>
      <c r="E19" s="1588" t="s">
        <v>923</v>
      </c>
      <c r="F19" s="1592" t="s">
        <v>991</v>
      </c>
      <c r="G19" s="1578" t="s">
        <v>761</v>
      </c>
      <c r="H19" s="491"/>
      <c r="I19" s="491"/>
      <c r="J19" s="224"/>
      <c r="K19" s="477"/>
      <c r="AF19" s="1555">
        <v>23</v>
      </c>
    </row>
    <row r="20" spans="1:32" ht="35.65" customHeight="1">
      <c r="D20" s="1562"/>
      <c r="E20" s="1588" t="s">
        <v>515</v>
      </c>
      <c r="F20" s="1591" t="s">
        <v>992</v>
      </c>
      <c r="G20" s="1578" t="s">
        <v>761</v>
      </c>
      <c r="H20" s="491"/>
      <c r="I20" s="491"/>
      <c r="J20" s="224"/>
      <c r="K20" s="477"/>
      <c r="AF20" s="1555">
        <v>34</v>
      </c>
    </row>
    <row r="21" spans="1:32" ht="48.2" customHeight="1">
      <c r="D21" s="1562"/>
      <c r="E21" s="1588" t="s">
        <v>518</v>
      </c>
      <c r="F21" s="1591" t="s">
        <v>993</v>
      </c>
      <c r="G21" s="1578" t="s">
        <v>761</v>
      </c>
      <c r="H21" s="491"/>
      <c r="I21" s="491"/>
      <c r="J21" s="224"/>
      <c r="K21" s="477"/>
      <c r="AF21" s="1555">
        <v>46</v>
      </c>
    </row>
    <row r="22" spans="1:32" ht="60" customHeight="1">
      <c r="D22" s="1562"/>
      <c r="E22" s="1588" t="s">
        <v>937</v>
      </c>
      <c r="F22" s="1591" t="s">
        <v>994</v>
      </c>
      <c r="G22" s="1578" t="s">
        <v>761</v>
      </c>
      <c r="H22" s="491"/>
      <c r="I22" s="491"/>
      <c r="J22" s="224"/>
      <c r="K22" s="477"/>
      <c r="AF22" s="1555">
        <v>57</v>
      </c>
    </row>
    <row r="23" spans="1:32" ht="35.65" customHeight="1">
      <c r="D23" s="1562"/>
      <c r="E23" s="1588" t="s">
        <v>944</v>
      </c>
      <c r="F23" s="1591" t="s">
        <v>995</v>
      </c>
      <c r="G23" s="1578" t="s">
        <v>761</v>
      </c>
      <c r="H23" s="491"/>
      <c r="I23" s="491"/>
      <c r="J23" s="224"/>
      <c r="K23" s="477"/>
      <c r="AF23" s="1555">
        <v>34</v>
      </c>
    </row>
    <row r="24" spans="1:32" ht="35.65" customHeight="1">
      <c r="D24" s="1562"/>
      <c r="E24" s="1588" t="s">
        <v>946</v>
      </c>
      <c r="F24" s="1591" t="s">
        <v>996</v>
      </c>
      <c r="G24" s="1578" t="s">
        <v>761</v>
      </c>
      <c r="H24" s="491"/>
      <c r="I24" s="491"/>
      <c r="J24" s="224"/>
      <c r="K24" s="477"/>
      <c r="AF24" s="1555">
        <v>34</v>
      </c>
    </row>
    <row r="25" spans="1:32" ht="24" customHeight="1">
      <c r="D25" s="1562"/>
      <c r="E25" s="1588" t="s">
        <v>948</v>
      </c>
      <c r="F25" s="1591" t="s">
        <v>997</v>
      </c>
      <c r="G25" s="1578" t="s">
        <v>761</v>
      </c>
      <c r="H25" s="491"/>
      <c r="I25" s="491"/>
      <c r="J25" s="224"/>
      <c r="K25" s="477"/>
      <c r="AF25" s="1555">
        <v>23</v>
      </c>
    </row>
    <row r="26" spans="1:32" ht="76.5" customHeight="1">
      <c r="D26" s="1562"/>
      <c r="E26" s="1588" t="s">
        <v>950</v>
      </c>
      <c r="F26" s="1591" t="s">
        <v>998</v>
      </c>
      <c r="G26" s="1578" t="s">
        <v>761</v>
      </c>
      <c r="H26" s="491"/>
      <c r="I26" s="491"/>
      <c r="J26" s="224"/>
      <c r="K26" s="477"/>
      <c r="AF26" s="1555">
        <v>73</v>
      </c>
    </row>
    <row r="27" spans="1:32" s="1290" customFormat="1" ht="35.65" customHeight="1">
      <c r="A27" s="914"/>
      <c r="C27" s="1560"/>
      <c r="D27" s="1562"/>
      <c r="E27" s="1553" t="s">
        <v>954</v>
      </c>
      <c r="F27" s="1552" t="s">
        <v>999</v>
      </c>
      <c r="G27" s="1579" t="s">
        <v>761</v>
      </c>
      <c r="H27" s="513">
        <f>SUM(H28:H29)</f>
        <v>0</v>
      </c>
      <c r="I27" s="513">
        <f>SUM(I28:I29)</f>
        <v>0</v>
      </c>
      <c r="J27" s="224" t="s">
        <v>952</v>
      </c>
      <c r="K27" s="477"/>
      <c r="L27" s="1560"/>
      <c r="M27" s="1560"/>
      <c r="R27" s="1560"/>
      <c r="U27" s="478"/>
      <c r="AA27" s="1556"/>
      <c r="AB27" s="1556"/>
      <c r="AC27" s="1556"/>
      <c r="AD27" s="1556"/>
      <c r="AE27" s="1556"/>
      <c r="AF27" s="1084">
        <v>34</v>
      </c>
    </row>
    <row r="28" spans="1:32" s="1566" customFormat="1" ht="1.1499999999999999" customHeight="1">
      <c r="A28" s="1091"/>
      <c r="D28" s="482"/>
      <c r="E28" s="730" t="str">
        <f>E27&amp;".0"</f>
        <v>2.9.0</v>
      </c>
      <c r="F28" s="918"/>
      <c r="G28" s="485"/>
      <c r="H28" s="919"/>
      <c r="I28" s="919"/>
      <c r="J28" s="920"/>
      <c r="AF28" s="1560">
        <v>1</v>
      </c>
    </row>
    <row r="29" spans="1:32" s="1290" customFormat="1" ht="19.899999999999999" customHeight="1">
      <c r="A29" s="914"/>
      <c r="C29" s="1560"/>
      <c r="D29" s="1557"/>
      <c r="E29" s="504"/>
      <c r="F29" s="1590" t="s">
        <v>786</v>
      </c>
      <c r="G29" s="506"/>
      <c r="H29" s="507"/>
      <c r="I29" s="507"/>
      <c r="J29" s="236" t="s">
        <v>953</v>
      </c>
      <c r="K29" s="477"/>
      <c r="L29" s="1560"/>
      <c r="M29" s="1560"/>
      <c r="R29" s="1560"/>
      <c r="U29" s="478"/>
      <c r="AA29" s="1556"/>
      <c r="AB29" s="1556"/>
      <c r="AC29" s="1556"/>
      <c r="AD29" s="1556"/>
      <c r="AE29" s="1556"/>
      <c r="AF29" s="1084">
        <v>19</v>
      </c>
    </row>
    <row r="30" spans="1:32" s="1290" customFormat="1" ht="24" customHeight="1">
      <c r="A30" s="914"/>
      <c r="C30" s="1560"/>
      <c r="D30" s="1562"/>
      <c r="E30" s="1588" t="s">
        <v>77</v>
      </c>
      <c r="F30" s="1585" t="s">
        <v>1000</v>
      </c>
      <c r="G30" s="1578" t="s">
        <v>761</v>
      </c>
      <c r="H30" s="491"/>
      <c r="I30" s="491"/>
      <c r="J30" s="224"/>
      <c r="K30" s="477"/>
      <c r="L30" s="1560"/>
      <c r="M30" s="1560"/>
      <c r="R30" s="1560"/>
      <c r="U30" s="478"/>
      <c r="AA30" s="1556"/>
      <c r="AB30" s="1556"/>
      <c r="AC30" s="1556"/>
      <c r="AD30" s="1556"/>
      <c r="AE30" s="1556"/>
      <c r="AF30" s="1084">
        <v>23</v>
      </c>
    </row>
    <row r="31" spans="1:32" s="1290" customFormat="1" ht="35.65" customHeight="1">
      <c r="A31" s="914"/>
      <c r="C31" s="1560"/>
      <c r="D31" s="509"/>
      <c r="E31" s="1588" t="s">
        <v>78</v>
      </c>
      <c r="F31" s="1585" t="s">
        <v>1001</v>
      </c>
      <c r="G31" s="1578" t="s">
        <v>761</v>
      </c>
      <c r="H31" s="491"/>
      <c r="I31" s="491"/>
      <c r="J31" s="224" t="s">
        <v>1002</v>
      </c>
      <c r="K31" s="477"/>
      <c r="L31" s="1560"/>
      <c r="M31" s="1560"/>
      <c r="R31" s="1560"/>
      <c r="U31" s="478"/>
      <c r="AA31" s="1556"/>
      <c r="AB31" s="1556"/>
      <c r="AC31" s="1556"/>
      <c r="AD31" s="1556"/>
      <c r="AE31" s="1556"/>
      <c r="AF31" s="1084">
        <v>34</v>
      </c>
    </row>
    <row r="32" spans="1:32" s="1290" customFormat="1" ht="24" customHeight="1">
      <c r="A32" s="914"/>
      <c r="C32" s="1560"/>
      <c r="D32" s="1562"/>
      <c r="E32" s="1588" t="s">
        <v>962</v>
      </c>
      <c r="F32" s="624" t="s">
        <v>966</v>
      </c>
      <c r="G32" s="1578" t="s">
        <v>761</v>
      </c>
      <c r="H32" s="491"/>
      <c r="I32" s="491"/>
      <c r="J32" s="224" t="s">
        <v>1003</v>
      </c>
      <c r="K32" s="477"/>
      <c r="L32" s="1560"/>
      <c r="M32" s="1560"/>
      <c r="R32" s="1560"/>
      <c r="U32" s="478"/>
      <c r="AA32" s="1556"/>
      <c r="AB32" s="1556"/>
      <c r="AC32" s="1556"/>
      <c r="AD32" s="1556"/>
      <c r="AE32" s="1556"/>
      <c r="AF32" s="1084">
        <v>23</v>
      </c>
    </row>
    <row r="33" spans="1:32" s="1290" customFormat="1" ht="24" customHeight="1">
      <c r="A33" s="914"/>
      <c r="C33" s="1560"/>
      <c r="D33" s="1562"/>
      <c r="E33" s="1588" t="s">
        <v>1004</v>
      </c>
      <c r="F33" s="624" t="s">
        <v>1005</v>
      </c>
      <c r="G33" s="1578" t="s">
        <v>761</v>
      </c>
      <c r="H33" s="491"/>
      <c r="I33" s="491"/>
      <c r="J33" s="224" t="s">
        <v>1006</v>
      </c>
      <c r="K33" s="477"/>
      <c r="L33" s="1560"/>
      <c r="M33" s="1560"/>
      <c r="R33" s="1560"/>
      <c r="U33" s="478"/>
      <c r="AA33" s="1556"/>
      <c r="AB33" s="1556"/>
      <c r="AC33" s="1556"/>
      <c r="AD33" s="1556"/>
      <c r="AE33" s="1556"/>
      <c r="AF33" s="1084">
        <v>23</v>
      </c>
    </row>
    <row r="34" spans="1:32" s="1290" customFormat="1" ht="24" customHeight="1">
      <c r="A34" s="914"/>
      <c r="C34" s="1560"/>
      <c r="D34" s="1562"/>
      <c r="E34" s="1588" t="s">
        <v>1007</v>
      </c>
      <c r="F34" s="624" t="s">
        <v>972</v>
      </c>
      <c r="G34" s="1578" t="s">
        <v>761</v>
      </c>
      <c r="H34" s="491"/>
      <c r="I34" s="491"/>
      <c r="J34" s="224" t="s">
        <v>1008</v>
      </c>
      <c r="K34" s="477"/>
      <c r="L34" s="1560"/>
      <c r="M34" s="1560"/>
      <c r="R34" s="1560"/>
      <c r="U34" s="478"/>
      <c r="AA34" s="1556"/>
      <c r="AB34" s="1556"/>
      <c r="AC34" s="1556"/>
      <c r="AD34" s="1556"/>
      <c r="AE34" s="1556"/>
      <c r="AF34" s="1084">
        <v>23</v>
      </c>
    </row>
    <row r="35" spans="1:32" s="1290" customFormat="1" ht="35.65" customHeight="1">
      <c r="A35" s="914"/>
      <c r="C35" s="1560" t="s">
        <v>797</v>
      </c>
      <c r="D35" s="1562"/>
      <c r="E35" s="1588" t="s">
        <v>115</v>
      </c>
      <c r="F35" s="1585" t="s">
        <v>838</v>
      </c>
      <c r="G35" s="1581" t="s">
        <v>514</v>
      </c>
      <c r="H35" s="335"/>
      <c r="I35" s="335"/>
      <c r="J35" s="224" t="s">
        <v>1009</v>
      </c>
      <c r="K35" s="477"/>
      <c r="L35" s="1560"/>
      <c r="M35" s="1560"/>
      <c r="R35" s="1560"/>
      <c r="U35" s="478"/>
      <c r="AA35" s="1556"/>
      <c r="AB35" s="1556"/>
      <c r="AC35" s="1556"/>
      <c r="AD35" s="1556"/>
      <c r="AE35" s="1556"/>
      <c r="AF35" s="1084">
        <v>34</v>
      </c>
    </row>
    <row r="36" spans="1:32" s="1290" customFormat="1" ht="35.65" customHeight="1">
      <c r="A36" s="914"/>
      <c r="C36" s="1560"/>
      <c r="D36" s="1562"/>
      <c r="E36" s="1588" t="s">
        <v>79</v>
      </c>
      <c r="F36" s="1585" t="s">
        <v>1010</v>
      </c>
      <c r="G36" s="1578" t="s">
        <v>977</v>
      </c>
      <c r="H36" s="479"/>
      <c r="I36" s="479"/>
      <c r="J36" s="224" t="s">
        <v>978</v>
      </c>
      <c r="K36" s="477"/>
      <c r="L36" s="1560"/>
      <c r="M36" s="1560"/>
      <c r="R36" s="1560"/>
      <c r="U36" s="478"/>
      <c r="AA36" s="1556"/>
      <c r="AB36" s="1556"/>
      <c r="AC36" s="1556"/>
      <c r="AD36" s="1556"/>
      <c r="AE36" s="1556"/>
      <c r="AF36" s="1084">
        <v>34</v>
      </c>
    </row>
    <row r="37" spans="1:32" s="1290" customFormat="1" ht="24" customHeight="1">
      <c r="A37" s="914"/>
      <c r="C37" s="1560"/>
      <c r="D37" s="1562"/>
      <c r="E37" s="1588" t="s">
        <v>80</v>
      </c>
      <c r="F37" s="1585" t="s">
        <v>1011</v>
      </c>
      <c r="G37" s="1578" t="s">
        <v>980</v>
      </c>
      <c r="H37" s="479"/>
      <c r="I37" s="479"/>
      <c r="J37" s="224" t="s">
        <v>981</v>
      </c>
      <c r="K37" s="477"/>
      <c r="L37" s="1560"/>
      <c r="M37" s="1560"/>
      <c r="R37" s="1560"/>
      <c r="U37" s="478"/>
      <c r="AA37" s="1556"/>
      <c r="AB37" s="1556"/>
      <c r="AC37" s="1556"/>
      <c r="AD37" s="1556"/>
      <c r="AE37" s="1556"/>
      <c r="AF37" s="1084">
        <v>23</v>
      </c>
    </row>
    <row r="38" spans="1:32" ht="11.45" customHeight="1">
      <c r="D38" s="1562"/>
      <c r="AF38" s="1555">
        <v>11</v>
      </c>
    </row>
    <row r="39" spans="1:32" ht="27.4" customHeight="1">
      <c r="D39" s="1562"/>
      <c r="E39" s="1177" t="s">
        <v>1012</v>
      </c>
      <c r="F39" s="4032" t="s">
        <v>1013</v>
      </c>
      <c r="G39" s="4032"/>
      <c r="H39" s="303"/>
      <c r="I39" s="303"/>
      <c r="J39" s="303"/>
      <c r="AF39" s="1555">
        <v>26</v>
      </c>
    </row>
    <row r="40" spans="1:32" s="1565" customFormat="1" ht="39.75" customHeight="1">
      <c r="A40" s="914"/>
      <c r="B40" s="1560"/>
      <c r="C40" s="1560"/>
      <c r="D40" s="285"/>
      <c r="F40" s="4032" t="s">
        <v>1014</v>
      </c>
      <c r="G40" s="4032"/>
      <c r="H40" s="303"/>
      <c r="I40" s="303"/>
      <c r="J40" s="303"/>
      <c r="K40" s="1084"/>
      <c r="L40" s="1560"/>
      <c r="M40" s="1560"/>
      <c r="N40" s="1084"/>
      <c r="O40" s="1084"/>
      <c r="P40" s="1084"/>
      <c r="Q40" s="1084"/>
      <c r="R40" s="1560"/>
      <c r="S40" s="1084"/>
      <c r="T40" s="1084"/>
      <c r="U40" s="478"/>
      <c r="V40" s="1084"/>
      <c r="W40" s="1084"/>
      <c r="X40" s="1084"/>
      <c r="Y40" s="1084"/>
      <c r="Z40" s="1084"/>
      <c r="AA40" s="1556"/>
      <c r="AB40" s="500"/>
      <c r="AC40" s="500"/>
      <c r="AD40" s="500"/>
      <c r="AE40" s="500"/>
      <c r="AF40" s="1565">
        <v>38</v>
      </c>
    </row>
    <row r="41" spans="1:32" s="1565" customFormat="1" ht="11.45" customHeight="1">
      <c r="A41" s="914"/>
      <c r="B41" s="1560"/>
      <c r="C41" s="1560"/>
      <c r="D41" s="285"/>
      <c r="K41" s="1084"/>
      <c r="L41" s="1560"/>
      <c r="M41" s="1560"/>
      <c r="N41" s="1084"/>
      <c r="O41" s="1084"/>
      <c r="P41" s="1084"/>
      <c r="Q41" s="1084"/>
      <c r="R41" s="1560"/>
      <c r="S41" s="1084"/>
      <c r="T41" s="1084"/>
      <c r="U41" s="478"/>
      <c r="V41" s="1084"/>
      <c r="W41" s="1084"/>
      <c r="X41" s="1084"/>
      <c r="Y41" s="1084"/>
      <c r="Z41" s="1084"/>
      <c r="AA41" s="1556"/>
      <c r="AB41" s="500"/>
      <c r="AC41" s="500"/>
      <c r="AD41" s="500"/>
      <c r="AE41" s="500"/>
      <c r="AF41" s="1565">
        <v>11</v>
      </c>
    </row>
    <row r="42" spans="1:32" s="1565" customFormat="1" ht="11.45" customHeight="1">
      <c r="A42" s="914"/>
      <c r="B42" s="1560"/>
      <c r="C42" s="1560"/>
      <c r="D42" s="285"/>
      <c r="K42" s="1084"/>
      <c r="L42" s="1560"/>
      <c r="M42" s="1560"/>
      <c r="N42" s="1084"/>
      <c r="O42" s="1084"/>
      <c r="P42" s="1084"/>
      <c r="Q42" s="1084"/>
      <c r="R42" s="1560"/>
      <c r="S42" s="1084"/>
      <c r="T42" s="1084"/>
      <c r="U42" s="478"/>
      <c r="V42" s="1084"/>
      <c r="W42" s="1084"/>
      <c r="X42" s="1084"/>
      <c r="Y42" s="1084"/>
      <c r="Z42" s="1084"/>
      <c r="AA42" s="1556"/>
      <c r="AB42" s="500"/>
      <c r="AC42" s="500"/>
      <c r="AD42" s="500"/>
      <c r="AE42" s="500"/>
      <c r="AF42" s="1565">
        <v>11</v>
      </c>
    </row>
    <row r="43" spans="1:32" s="1565" customFormat="1" ht="11.45" customHeight="1">
      <c r="A43" s="914"/>
      <c r="B43" s="1560"/>
      <c r="C43" s="1560"/>
      <c r="D43" s="285"/>
      <c r="H43" s="500"/>
      <c r="I43" s="500"/>
      <c r="K43" s="1084"/>
      <c r="L43" s="1560"/>
      <c r="M43" s="1560"/>
      <c r="N43" s="1084"/>
      <c r="O43" s="1084"/>
      <c r="P43" s="1084"/>
      <c r="Q43" s="1084"/>
      <c r="R43" s="1560"/>
      <c r="S43" s="1084"/>
      <c r="T43" s="1084"/>
      <c r="U43" s="478"/>
      <c r="V43" s="1084"/>
      <c r="W43" s="1084"/>
      <c r="X43" s="1084"/>
      <c r="Y43" s="1084"/>
      <c r="Z43" s="1084"/>
      <c r="AA43" s="1556"/>
      <c r="AB43" s="500"/>
      <c r="AC43" s="500"/>
      <c r="AD43" s="500"/>
      <c r="AE43" s="500"/>
      <c r="AF43" s="1565">
        <v>11</v>
      </c>
    </row>
    <row r="44" spans="1:32" s="1565" customFormat="1" ht="11.45" customHeight="1">
      <c r="A44" s="914"/>
      <c r="B44" s="1560"/>
      <c r="C44" s="1560"/>
      <c r="D44" s="285"/>
      <c r="K44" s="1084"/>
      <c r="L44" s="1560"/>
      <c r="M44" s="1560"/>
      <c r="N44" s="1084"/>
      <c r="O44" s="1084"/>
      <c r="P44" s="1084"/>
      <c r="Q44" s="1084"/>
      <c r="R44" s="1560"/>
      <c r="S44" s="1084"/>
      <c r="T44" s="1084"/>
      <c r="U44" s="478"/>
      <c r="V44" s="1084"/>
      <c r="W44" s="1084"/>
      <c r="X44" s="1084"/>
      <c r="Y44" s="1084"/>
      <c r="Z44" s="1084"/>
      <c r="AA44" s="1556"/>
      <c r="AB44" s="500"/>
      <c r="AC44" s="500"/>
      <c r="AD44" s="500"/>
      <c r="AE44" s="500"/>
      <c r="AF44" s="1565">
        <v>11</v>
      </c>
    </row>
    <row r="45" spans="1:32" s="1565" customFormat="1" ht="11.45" customHeight="1">
      <c r="A45" s="914"/>
      <c r="B45" s="1560"/>
      <c r="C45" s="1560"/>
      <c r="D45" s="285"/>
      <c r="K45" s="1084"/>
      <c r="L45" s="1560"/>
      <c r="M45" s="1560"/>
      <c r="N45" s="1084"/>
      <c r="O45" s="1084"/>
      <c r="P45" s="1084"/>
      <c r="Q45" s="1084"/>
      <c r="R45" s="1560"/>
      <c r="S45" s="1084"/>
      <c r="T45" s="1084"/>
      <c r="U45" s="478"/>
      <c r="V45" s="1084"/>
      <c r="W45" s="1084"/>
      <c r="X45" s="1084"/>
      <c r="Y45" s="1084"/>
      <c r="Z45" s="1084"/>
      <c r="AA45" s="1556"/>
      <c r="AB45" s="500"/>
      <c r="AC45" s="500"/>
      <c r="AD45" s="500"/>
      <c r="AE45" s="500"/>
      <c r="AF45" s="1565">
        <v>11</v>
      </c>
    </row>
    <row r="46" spans="1:32" s="1565" customFormat="1" ht="11.45" customHeight="1">
      <c r="A46" s="914"/>
      <c r="B46" s="1560"/>
      <c r="C46" s="1560"/>
      <c r="D46" s="285"/>
      <c r="K46" s="1084"/>
      <c r="L46" s="1560"/>
      <c r="M46" s="1560"/>
      <c r="N46" s="1084"/>
      <c r="O46" s="1084"/>
      <c r="P46" s="1084"/>
      <c r="Q46" s="1084"/>
      <c r="R46" s="1560"/>
      <c r="S46" s="1084"/>
      <c r="T46" s="1084"/>
      <c r="U46" s="478"/>
      <c r="V46" s="1084"/>
      <c r="W46" s="1084"/>
      <c r="X46" s="1084"/>
      <c r="Y46" s="1084"/>
      <c r="Z46" s="1084"/>
      <c r="AA46" s="1556"/>
      <c r="AB46" s="500"/>
      <c r="AC46" s="500"/>
      <c r="AD46" s="500"/>
      <c r="AE46" s="500"/>
      <c r="AF46" s="1565">
        <v>11</v>
      </c>
    </row>
    <row r="47" spans="1:32" s="1565" customFormat="1" ht="11.45" customHeight="1">
      <c r="A47" s="914"/>
      <c r="B47" s="1560"/>
      <c r="C47" s="1560"/>
      <c r="D47" s="285"/>
      <c r="K47" s="1084"/>
      <c r="L47" s="1560"/>
      <c r="M47" s="1560"/>
      <c r="N47" s="1084"/>
      <c r="O47" s="1084"/>
      <c r="P47" s="1084"/>
      <c r="Q47" s="1084"/>
      <c r="R47" s="1560"/>
      <c r="S47" s="1084"/>
      <c r="T47" s="1084"/>
      <c r="U47" s="478"/>
      <c r="V47" s="1084"/>
      <c r="W47" s="1084"/>
      <c r="X47" s="1084"/>
      <c r="Y47" s="1084"/>
      <c r="Z47" s="1084"/>
      <c r="AA47" s="1556"/>
      <c r="AB47" s="500"/>
      <c r="AC47" s="500"/>
      <c r="AD47" s="500"/>
      <c r="AE47" s="500"/>
      <c r="AF47" s="1565">
        <v>11</v>
      </c>
    </row>
    <row r="48" spans="1:32" s="1565" customFormat="1" ht="11.45" customHeight="1">
      <c r="A48" s="914"/>
      <c r="B48" s="1560"/>
      <c r="C48" s="1560"/>
      <c r="D48" s="285"/>
      <c r="K48" s="1084"/>
      <c r="L48" s="1560"/>
      <c r="M48" s="1560"/>
      <c r="N48" s="1084"/>
      <c r="O48" s="1084"/>
      <c r="P48" s="1084"/>
      <c r="Q48" s="1084"/>
      <c r="R48" s="1560"/>
      <c r="S48" s="1084"/>
      <c r="T48" s="1084"/>
      <c r="U48" s="478"/>
      <c r="V48" s="1084"/>
      <c r="W48" s="1084"/>
      <c r="X48" s="1084"/>
      <c r="Y48" s="1084"/>
      <c r="Z48" s="1084"/>
      <c r="AA48" s="1556"/>
      <c r="AB48" s="500"/>
      <c r="AC48" s="500"/>
      <c r="AD48" s="500"/>
      <c r="AE48" s="500"/>
      <c r="AF48" s="1565">
        <v>11</v>
      </c>
    </row>
    <row r="49" spans="1:32" s="1565" customFormat="1" ht="11.45" customHeight="1">
      <c r="A49" s="914"/>
      <c r="B49" s="1560"/>
      <c r="C49" s="1560"/>
      <c r="D49" s="285"/>
      <c r="K49" s="1084"/>
      <c r="L49" s="1560"/>
      <c r="M49" s="1560"/>
      <c r="N49" s="1084"/>
      <c r="O49" s="1084"/>
      <c r="P49" s="1084"/>
      <c r="Q49" s="1084"/>
      <c r="R49" s="1560"/>
      <c r="S49" s="1084"/>
      <c r="T49" s="1084"/>
      <c r="U49" s="478"/>
      <c r="V49" s="1084"/>
      <c r="W49" s="1084"/>
      <c r="X49" s="1084"/>
      <c r="Y49" s="1084"/>
      <c r="Z49" s="1084"/>
      <c r="AA49" s="1556"/>
      <c r="AB49" s="500"/>
      <c r="AC49" s="500"/>
      <c r="AD49" s="500"/>
      <c r="AE49" s="500"/>
      <c r="AF49" s="1565">
        <v>11</v>
      </c>
    </row>
    <row r="50" spans="1:32" s="1565" customFormat="1" ht="11.45" customHeight="1">
      <c r="A50" s="914"/>
      <c r="B50" s="1560"/>
      <c r="C50" s="1560"/>
      <c r="D50" s="285"/>
      <c r="K50" s="1084"/>
      <c r="L50" s="1560"/>
      <c r="M50" s="1560"/>
      <c r="N50" s="1084"/>
      <c r="O50" s="1084"/>
      <c r="P50" s="1084"/>
      <c r="Q50" s="1084"/>
      <c r="R50" s="1560"/>
      <c r="S50" s="1084"/>
      <c r="T50" s="1084"/>
      <c r="U50" s="478"/>
      <c r="V50" s="1084"/>
      <c r="W50" s="1084"/>
      <c r="X50" s="1084"/>
      <c r="Y50" s="1084"/>
      <c r="Z50" s="1084"/>
      <c r="AA50" s="1556"/>
      <c r="AB50" s="500"/>
      <c r="AC50" s="500"/>
      <c r="AD50" s="500"/>
      <c r="AE50" s="500"/>
      <c r="AF50" s="1565">
        <v>11</v>
      </c>
    </row>
    <row r="51" spans="1:32" s="1565" customFormat="1" ht="11.45" customHeight="1">
      <c r="A51" s="914"/>
      <c r="B51" s="1560"/>
      <c r="C51" s="1560"/>
      <c r="D51" s="285"/>
      <c r="K51" s="1084"/>
      <c r="L51" s="1560"/>
      <c r="M51" s="1560"/>
      <c r="N51" s="1084"/>
      <c r="O51" s="1084"/>
      <c r="P51" s="1084"/>
      <c r="Q51" s="1084"/>
      <c r="R51" s="1560"/>
      <c r="S51" s="1084"/>
      <c r="T51" s="1084"/>
      <c r="U51" s="478"/>
      <c r="V51" s="1084"/>
      <c r="W51" s="1084"/>
      <c r="X51" s="1084"/>
      <c r="Y51" s="1084"/>
      <c r="Z51" s="1084"/>
      <c r="AA51" s="1556"/>
      <c r="AB51" s="500"/>
      <c r="AC51" s="500"/>
      <c r="AD51" s="500"/>
      <c r="AE51" s="500"/>
      <c r="AF51" s="1565">
        <v>11</v>
      </c>
    </row>
    <row r="52" spans="1:32" s="1565" customFormat="1" ht="11.45" customHeight="1">
      <c r="A52" s="914"/>
      <c r="B52" s="1560"/>
      <c r="C52" s="1560"/>
      <c r="D52" s="285"/>
      <c r="K52" s="1084"/>
      <c r="L52" s="1560"/>
      <c r="M52" s="1560"/>
      <c r="N52" s="1084"/>
      <c r="O52" s="1084"/>
      <c r="P52" s="1084"/>
      <c r="Q52" s="1084"/>
      <c r="R52" s="1560"/>
      <c r="S52" s="1084"/>
      <c r="T52" s="1084"/>
      <c r="U52" s="478"/>
      <c r="V52" s="1084"/>
      <c r="W52" s="1084"/>
      <c r="X52" s="1084"/>
      <c r="Y52" s="1084"/>
      <c r="Z52" s="1084"/>
      <c r="AA52" s="1556"/>
      <c r="AB52" s="500"/>
      <c r="AC52" s="500"/>
      <c r="AD52" s="500"/>
      <c r="AE52" s="500"/>
      <c r="AF52" s="1565">
        <v>11</v>
      </c>
    </row>
    <row r="53" spans="1:32" s="1565" customFormat="1" ht="11.45" customHeight="1">
      <c r="A53" s="914"/>
      <c r="B53" s="1560"/>
      <c r="C53" s="1560"/>
      <c r="D53" s="285"/>
      <c r="K53" s="1084"/>
      <c r="L53" s="1560"/>
      <c r="M53" s="1560"/>
      <c r="N53" s="1084"/>
      <c r="O53" s="1084"/>
      <c r="P53" s="1084"/>
      <c r="Q53" s="1084"/>
      <c r="R53" s="1560"/>
      <c r="S53" s="1084"/>
      <c r="T53" s="1084"/>
      <c r="U53" s="478"/>
      <c r="V53" s="1084"/>
      <c r="W53" s="1084"/>
      <c r="X53" s="1084"/>
      <c r="Y53" s="1084"/>
      <c r="Z53" s="1084"/>
      <c r="AA53" s="1556"/>
      <c r="AB53" s="500"/>
      <c r="AC53" s="500"/>
      <c r="AD53" s="500"/>
      <c r="AE53" s="500"/>
      <c r="AF53" s="1565">
        <v>11</v>
      </c>
    </row>
    <row r="54" spans="1:32" s="1565" customFormat="1" ht="11.45" customHeight="1">
      <c r="A54" s="914"/>
      <c r="B54" s="1560"/>
      <c r="C54" s="1560"/>
      <c r="D54" s="285"/>
      <c r="K54" s="1084"/>
      <c r="L54" s="1560"/>
      <c r="M54" s="1560"/>
      <c r="N54" s="1084"/>
      <c r="O54" s="1084"/>
      <c r="P54" s="1084"/>
      <c r="Q54" s="1084"/>
      <c r="R54" s="1560"/>
      <c r="S54" s="1084"/>
      <c r="T54" s="1084"/>
      <c r="U54" s="478"/>
      <c r="V54" s="1084"/>
      <c r="W54" s="1084"/>
      <c r="X54" s="1084"/>
      <c r="Y54" s="1084"/>
      <c r="Z54" s="1084"/>
      <c r="AA54" s="1556"/>
      <c r="AB54" s="500"/>
      <c r="AC54" s="500"/>
      <c r="AD54" s="500"/>
      <c r="AE54" s="500"/>
      <c r="AF54" s="1565">
        <v>11</v>
      </c>
    </row>
    <row r="55" spans="1:32" s="1565" customFormat="1" ht="11.45" customHeight="1">
      <c r="A55" s="914"/>
      <c r="B55" s="1560"/>
      <c r="C55" s="1560"/>
      <c r="D55" s="285"/>
      <c r="K55" s="1084"/>
      <c r="L55" s="1560"/>
      <c r="M55" s="1560"/>
      <c r="N55" s="1084"/>
      <c r="O55" s="1084"/>
      <c r="P55" s="1084"/>
      <c r="Q55" s="1084"/>
      <c r="R55" s="1560"/>
      <c r="S55" s="1084"/>
      <c r="T55" s="1084"/>
      <c r="U55" s="478"/>
      <c r="V55" s="1084"/>
      <c r="W55" s="1084"/>
      <c r="X55" s="1084"/>
      <c r="Y55" s="1084"/>
      <c r="Z55" s="1084"/>
      <c r="AA55" s="1556"/>
      <c r="AB55" s="500"/>
      <c r="AC55" s="500"/>
      <c r="AD55" s="500"/>
      <c r="AE55" s="500"/>
      <c r="AF55" s="1565">
        <v>11</v>
      </c>
    </row>
    <row r="56" spans="1:32" s="1565" customFormat="1" ht="11.45" customHeight="1">
      <c r="A56" s="914"/>
      <c r="B56" s="1560"/>
      <c r="C56" s="1560"/>
      <c r="D56" s="285"/>
      <c r="K56" s="1084"/>
      <c r="L56" s="1560"/>
      <c r="M56" s="1560"/>
      <c r="N56" s="1084"/>
      <c r="O56" s="1084"/>
      <c r="P56" s="1084"/>
      <c r="Q56" s="1084"/>
      <c r="R56" s="1560"/>
      <c r="S56" s="1084"/>
      <c r="T56" s="1084"/>
      <c r="U56" s="478"/>
      <c r="V56" s="1084"/>
      <c r="W56" s="1084"/>
      <c r="X56" s="1084"/>
      <c r="Y56" s="1084"/>
      <c r="Z56" s="1084"/>
      <c r="AA56" s="1556"/>
      <c r="AB56" s="500"/>
      <c r="AC56" s="500"/>
      <c r="AD56" s="500"/>
      <c r="AE56" s="500"/>
      <c r="AF56" s="1565">
        <v>11</v>
      </c>
    </row>
    <row r="57" spans="1:32" s="1565" customFormat="1" ht="11.45" customHeight="1">
      <c r="A57" s="914"/>
      <c r="B57" s="1560"/>
      <c r="C57" s="1560"/>
      <c r="D57" s="285"/>
      <c r="K57" s="1084"/>
      <c r="L57" s="1560"/>
      <c r="M57" s="1560"/>
      <c r="N57" s="1084"/>
      <c r="O57" s="1084"/>
      <c r="P57" s="1084"/>
      <c r="Q57" s="1084"/>
      <c r="R57" s="1560"/>
      <c r="S57" s="1084"/>
      <c r="T57" s="1084"/>
      <c r="U57" s="478"/>
      <c r="V57" s="1084"/>
      <c r="W57" s="1084"/>
      <c r="X57" s="1084"/>
      <c r="Y57" s="1084"/>
      <c r="Z57" s="1084"/>
      <c r="AA57" s="1556"/>
      <c r="AB57" s="500"/>
      <c r="AC57" s="500"/>
      <c r="AD57" s="500"/>
      <c r="AE57" s="500"/>
      <c r="AF57" s="1565">
        <v>11</v>
      </c>
    </row>
    <row r="58" spans="1:32" s="1565" customFormat="1" ht="11.45" customHeight="1">
      <c r="A58" s="914"/>
      <c r="B58" s="1560"/>
      <c r="C58" s="1560"/>
      <c r="D58" s="285"/>
      <c r="K58" s="1084"/>
      <c r="L58" s="1560"/>
      <c r="M58" s="1560"/>
      <c r="N58" s="1084"/>
      <c r="O58" s="1084"/>
      <c r="P58" s="1084"/>
      <c r="Q58" s="1084"/>
      <c r="R58" s="1560"/>
      <c r="S58" s="1084"/>
      <c r="T58" s="1084"/>
      <c r="U58" s="478"/>
      <c r="V58" s="1084"/>
      <c r="W58" s="1084"/>
      <c r="X58" s="1084"/>
      <c r="Y58" s="1084"/>
      <c r="Z58" s="1084"/>
      <c r="AA58" s="1556"/>
      <c r="AB58" s="500"/>
      <c r="AC58" s="500"/>
      <c r="AD58" s="500"/>
      <c r="AE58" s="500"/>
      <c r="AF58" s="1565">
        <v>11</v>
      </c>
    </row>
    <row r="59" spans="1:32" s="1565" customFormat="1" ht="11.45" customHeight="1">
      <c r="A59" s="914"/>
      <c r="B59" s="1560"/>
      <c r="C59" s="1560"/>
      <c r="D59" s="285"/>
      <c r="K59" s="1084"/>
      <c r="L59" s="1560"/>
      <c r="M59" s="1560"/>
      <c r="N59" s="1084"/>
      <c r="O59" s="1084"/>
      <c r="P59" s="1084"/>
      <c r="Q59" s="1084"/>
      <c r="R59" s="1560"/>
      <c r="S59" s="1084"/>
      <c r="T59" s="1084"/>
      <c r="U59" s="478"/>
      <c r="V59" s="1084"/>
      <c r="W59" s="1084"/>
      <c r="X59" s="1084"/>
      <c r="Y59" s="1084"/>
      <c r="Z59" s="1084"/>
      <c r="AA59" s="1556"/>
      <c r="AB59" s="500"/>
      <c r="AC59" s="500"/>
      <c r="AD59" s="500"/>
      <c r="AE59" s="500"/>
      <c r="AF59" s="1565">
        <v>11</v>
      </c>
    </row>
    <row r="60" spans="1:32" s="1565" customFormat="1" ht="11.45" customHeight="1">
      <c r="A60" s="914"/>
      <c r="B60" s="1560"/>
      <c r="C60" s="1560"/>
      <c r="D60" s="285"/>
      <c r="K60" s="1084"/>
      <c r="L60" s="1560"/>
      <c r="M60" s="1560"/>
      <c r="N60" s="1084"/>
      <c r="O60" s="1084"/>
      <c r="P60" s="1084"/>
      <c r="Q60" s="1084"/>
      <c r="R60" s="1560"/>
      <c r="S60" s="1084"/>
      <c r="T60" s="1084"/>
      <c r="U60" s="478"/>
      <c r="V60" s="1084"/>
      <c r="W60" s="1084"/>
      <c r="X60" s="1084"/>
      <c r="Y60" s="1084"/>
      <c r="Z60" s="1084"/>
      <c r="AA60" s="1556"/>
      <c r="AB60" s="500"/>
      <c r="AC60" s="500"/>
      <c r="AD60" s="500"/>
      <c r="AE60" s="500"/>
      <c r="AF60" s="1565">
        <v>11</v>
      </c>
    </row>
    <row r="61" spans="1:32" s="1565" customFormat="1" ht="11.45" customHeight="1">
      <c r="A61" s="914"/>
      <c r="B61" s="1560"/>
      <c r="C61" s="1560"/>
      <c r="D61" s="285"/>
      <c r="K61" s="1084"/>
      <c r="L61" s="1560"/>
      <c r="M61" s="1560"/>
      <c r="N61" s="1084"/>
      <c r="O61" s="1084"/>
      <c r="P61" s="1084"/>
      <c r="Q61" s="1084"/>
      <c r="R61" s="1560"/>
      <c r="S61" s="1084"/>
      <c r="T61" s="1084"/>
      <c r="U61" s="478"/>
      <c r="V61" s="1084"/>
      <c r="W61" s="1084"/>
      <c r="X61" s="1084"/>
      <c r="Y61" s="1084"/>
      <c r="Z61" s="1084"/>
      <c r="AA61" s="1556"/>
      <c r="AB61" s="500"/>
      <c r="AC61" s="500"/>
      <c r="AD61" s="500"/>
      <c r="AE61" s="500"/>
      <c r="AF61" s="1565">
        <v>11</v>
      </c>
    </row>
    <row r="62" spans="1:32" s="1565" customFormat="1" ht="11.45" customHeight="1">
      <c r="A62" s="914"/>
      <c r="B62" s="1560"/>
      <c r="C62" s="1560"/>
      <c r="D62" s="285"/>
      <c r="K62" s="1084"/>
      <c r="L62" s="1560"/>
      <c r="M62" s="1560"/>
      <c r="N62" s="1084"/>
      <c r="O62" s="1084"/>
      <c r="P62" s="1084"/>
      <c r="Q62" s="1084"/>
      <c r="R62" s="1560"/>
      <c r="S62" s="1084"/>
      <c r="T62" s="1084"/>
      <c r="U62" s="478"/>
      <c r="V62" s="1084"/>
      <c r="W62" s="1084"/>
      <c r="X62" s="1084"/>
      <c r="Y62" s="1084"/>
      <c r="Z62" s="1084"/>
      <c r="AA62" s="1556"/>
      <c r="AB62" s="500"/>
      <c r="AC62" s="500"/>
      <c r="AD62" s="500"/>
      <c r="AE62" s="500"/>
      <c r="AF62" s="1565">
        <v>11</v>
      </c>
    </row>
    <row r="63" spans="1:32" s="1565" customFormat="1" ht="11.45" customHeight="1">
      <c r="A63" s="914"/>
      <c r="B63" s="1560"/>
      <c r="C63" s="1560"/>
      <c r="D63" s="285"/>
      <c r="K63" s="1084"/>
      <c r="L63" s="1560"/>
      <c r="M63" s="1560"/>
      <c r="N63" s="1084"/>
      <c r="O63" s="1084"/>
      <c r="P63" s="1084"/>
      <c r="Q63" s="1084"/>
      <c r="R63" s="1560"/>
      <c r="S63" s="1084"/>
      <c r="T63" s="1084"/>
      <c r="U63" s="478"/>
      <c r="V63" s="1084"/>
      <c r="W63" s="1084"/>
      <c r="X63" s="1084"/>
      <c r="Y63" s="1084"/>
      <c r="Z63" s="1084"/>
      <c r="AA63" s="1556"/>
      <c r="AB63" s="500"/>
      <c r="AC63" s="500"/>
      <c r="AD63" s="500"/>
      <c r="AE63" s="500"/>
      <c r="AF63" s="1565">
        <v>11</v>
      </c>
    </row>
    <row r="64" spans="1:32" s="1565" customFormat="1" ht="11.45" customHeight="1">
      <c r="A64" s="914"/>
      <c r="B64" s="1560"/>
      <c r="C64" s="1560"/>
      <c r="D64" s="285"/>
      <c r="K64" s="1084"/>
      <c r="L64" s="1560"/>
      <c r="M64" s="1560"/>
      <c r="N64" s="1084"/>
      <c r="O64" s="1084"/>
      <c r="P64" s="1084"/>
      <c r="Q64" s="1084"/>
      <c r="R64" s="1560"/>
      <c r="S64" s="1084"/>
      <c r="T64" s="1084"/>
      <c r="U64" s="478"/>
      <c r="V64" s="1084"/>
      <c r="W64" s="1084"/>
      <c r="X64" s="1084"/>
      <c r="Y64" s="1084"/>
      <c r="Z64" s="1084"/>
      <c r="AA64" s="1556"/>
      <c r="AB64" s="500"/>
      <c r="AC64" s="500"/>
      <c r="AD64" s="500"/>
      <c r="AE64" s="500"/>
      <c r="AF64" s="1565">
        <v>11</v>
      </c>
    </row>
    <row r="65" spans="1:32" s="1565" customFormat="1" ht="11.45" customHeight="1">
      <c r="A65" s="914"/>
      <c r="B65" s="1560"/>
      <c r="C65" s="1560"/>
      <c r="D65" s="285"/>
      <c r="K65" s="1084"/>
      <c r="L65" s="1560"/>
      <c r="M65" s="1560"/>
      <c r="N65" s="1084"/>
      <c r="O65" s="1084"/>
      <c r="P65" s="1084"/>
      <c r="Q65" s="1084"/>
      <c r="R65" s="1560"/>
      <c r="S65" s="1084"/>
      <c r="T65" s="1084"/>
      <c r="U65" s="478"/>
      <c r="V65" s="1084"/>
      <c r="W65" s="1084"/>
      <c r="X65" s="1084"/>
      <c r="Y65" s="1084"/>
      <c r="Z65" s="1084"/>
      <c r="AA65" s="1556"/>
      <c r="AB65" s="500"/>
      <c r="AC65" s="500"/>
      <c r="AD65" s="500"/>
      <c r="AE65" s="500"/>
      <c r="AF65" s="1565">
        <v>11</v>
      </c>
    </row>
    <row r="66" spans="1:32" s="1565" customFormat="1" ht="11.45" customHeight="1">
      <c r="A66" s="914"/>
      <c r="B66" s="1560"/>
      <c r="C66" s="1560"/>
      <c r="D66" s="285"/>
      <c r="K66" s="1084"/>
      <c r="L66" s="1560"/>
      <c r="M66" s="1560"/>
      <c r="N66" s="1084"/>
      <c r="O66" s="1084"/>
      <c r="P66" s="1084"/>
      <c r="Q66" s="1084"/>
      <c r="R66" s="1560"/>
      <c r="S66" s="1084"/>
      <c r="T66" s="1084"/>
      <c r="U66" s="478"/>
      <c r="V66" s="1084"/>
      <c r="W66" s="1084"/>
      <c r="X66" s="1084"/>
      <c r="Y66" s="1084"/>
      <c r="Z66" s="1084"/>
      <c r="AA66" s="1556"/>
      <c r="AB66" s="500"/>
      <c r="AC66" s="500"/>
      <c r="AD66" s="500"/>
      <c r="AE66" s="500"/>
      <c r="AF66" s="1565">
        <v>11</v>
      </c>
    </row>
    <row r="67" spans="1:32" s="1565" customFormat="1" ht="11.45" customHeight="1">
      <c r="A67" s="914"/>
      <c r="B67" s="1560"/>
      <c r="C67" s="1560"/>
      <c r="D67" s="285"/>
      <c r="K67" s="1084"/>
      <c r="L67" s="1560"/>
      <c r="M67" s="1560"/>
      <c r="N67" s="1084"/>
      <c r="O67" s="1084"/>
      <c r="P67" s="1084"/>
      <c r="Q67" s="1084"/>
      <c r="R67" s="1560"/>
      <c r="S67" s="1084"/>
      <c r="T67" s="1084"/>
      <c r="U67" s="478"/>
      <c r="V67" s="1084"/>
      <c r="W67" s="1084"/>
      <c r="X67" s="1084"/>
      <c r="Y67" s="1084"/>
      <c r="Z67" s="1084"/>
      <c r="AA67" s="1556"/>
      <c r="AB67" s="500"/>
      <c r="AC67" s="500"/>
      <c r="AD67" s="500"/>
      <c r="AE67" s="500"/>
      <c r="AF67" s="1565">
        <v>11</v>
      </c>
    </row>
    <row r="68" spans="1:32" s="1565" customFormat="1" ht="11.45" customHeight="1">
      <c r="A68" s="914"/>
      <c r="B68" s="1560"/>
      <c r="C68" s="1560"/>
      <c r="D68" s="285"/>
      <c r="K68" s="1084"/>
      <c r="L68" s="1560"/>
      <c r="M68" s="1560"/>
      <c r="N68" s="1084"/>
      <c r="O68" s="1084"/>
      <c r="P68" s="1084"/>
      <c r="Q68" s="1084"/>
      <c r="R68" s="1560"/>
      <c r="S68" s="1084"/>
      <c r="T68" s="1084"/>
      <c r="U68" s="478"/>
      <c r="V68" s="1084"/>
      <c r="W68" s="1084"/>
      <c r="X68" s="1084"/>
      <c r="Y68" s="1084"/>
      <c r="Z68" s="1084"/>
      <c r="AA68" s="1556"/>
      <c r="AB68" s="500"/>
      <c r="AC68" s="500"/>
      <c r="AD68" s="500"/>
      <c r="AE68" s="500"/>
      <c r="AF68" s="1565">
        <v>11</v>
      </c>
    </row>
    <row r="69" spans="1:32" s="1565" customFormat="1" ht="11.45" customHeight="1">
      <c r="A69" s="914"/>
      <c r="B69" s="1560"/>
      <c r="C69" s="1560"/>
      <c r="D69" s="285"/>
      <c r="K69" s="1084"/>
      <c r="L69" s="1560"/>
      <c r="M69" s="1560"/>
      <c r="N69" s="1084"/>
      <c r="O69" s="1084"/>
      <c r="P69" s="1084"/>
      <c r="Q69" s="1084"/>
      <c r="R69" s="1560"/>
      <c r="S69" s="1084"/>
      <c r="T69" s="1084"/>
      <c r="U69" s="478"/>
      <c r="V69" s="1084"/>
      <c r="W69" s="1084"/>
      <c r="X69" s="1084"/>
      <c r="Y69" s="1084"/>
      <c r="Z69" s="1084"/>
      <c r="AA69" s="1556"/>
      <c r="AB69" s="500"/>
      <c r="AC69" s="500"/>
      <c r="AD69" s="500"/>
      <c r="AE69" s="500"/>
      <c r="AF69" s="1565">
        <v>11</v>
      </c>
    </row>
    <row r="70" spans="1:32" s="1565" customFormat="1" ht="11.45" customHeight="1">
      <c r="A70" s="914"/>
      <c r="B70" s="1560"/>
      <c r="C70" s="1560"/>
      <c r="D70" s="285"/>
      <c r="K70" s="1084"/>
      <c r="L70" s="1560"/>
      <c r="M70" s="1560"/>
      <c r="N70" s="1084"/>
      <c r="O70" s="1084"/>
      <c r="P70" s="1084"/>
      <c r="Q70" s="1084"/>
      <c r="R70" s="1560"/>
      <c r="S70" s="1084"/>
      <c r="T70" s="1084"/>
      <c r="U70" s="478"/>
      <c r="V70" s="1084"/>
      <c r="W70" s="1084"/>
      <c r="X70" s="1084"/>
      <c r="Y70" s="1084"/>
      <c r="Z70" s="1084"/>
      <c r="AA70" s="1556"/>
      <c r="AB70" s="500"/>
      <c r="AC70" s="500"/>
      <c r="AD70" s="500"/>
      <c r="AE70" s="500"/>
      <c r="AF70" s="1565">
        <v>11</v>
      </c>
    </row>
    <row r="71" spans="1:32" s="1565" customFormat="1" ht="11.45" customHeight="1">
      <c r="A71" s="914"/>
      <c r="B71" s="1560"/>
      <c r="C71" s="1560"/>
      <c r="D71" s="285"/>
      <c r="K71" s="1084"/>
      <c r="L71" s="1560"/>
      <c r="M71" s="1560"/>
      <c r="N71" s="1084"/>
      <c r="O71" s="1084"/>
      <c r="P71" s="1084"/>
      <c r="Q71" s="1084"/>
      <c r="R71" s="1560"/>
      <c r="S71" s="1084"/>
      <c r="T71" s="1084"/>
      <c r="U71" s="478"/>
      <c r="V71" s="1084"/>
      <c r="W71" s="1084"/>
      <c r="X71" s="1084"/>
      <c r="Y71" s="1084"/>
      <c r="Z71" s="1084"/>
      <c r="AA71" s="1556"/>
      <c r="AB71" s="500"/>
      <c r="AC71" s="500"/>
      <c r="AD71" s="500"/>
      <c r="AE71" s="500"/>
      <c r="AF71" s="1565">
        <v>11</v>
      </c>
    </row>
    <row r="72" spans="1:32" s="1565" customFormat="1" ht="11.45" customHeight="1">
      <c r="A72" s="914"/>
      <c r="B72" s="1560"/>
      <c r="C72" s="1560"/>
      <c r="D72" s="285"/>
      <c r="K72" s="1084"/>
      <c r="L72" s="1560"/>
      <c r="M72" s="1560"/>
      <c r="N72" s="1084"/>
      <c r="O72" s="1084"/>
      <c r="P72" s="1084"/>
      <c r="Q72" s="1084"/>
      <c r="R72" s="1560"/>
      <c r="S72" s="1084"/>
      <c r="T72" s="1084"/>
      <c r="U72" s="478"/>
      <c r="V72" s="1084"/>
      <c r="W72" s="1084"/>
      <c r="X72" s="1084"/>
      <c r="Y72" s="1084"/>
      <c r="Z72" s="1084"/>
      <c r="AA72" s="1556"/>
      <c r="AB72" s="500"/>
      <c r="AC72" s="500"/>
      <c r="AD72" s="500"/>
      <c r="AE72" s="500"/>
      <c r="AF72" s="1565">
        <v>11</v>
      </c>
    </row>
    <row r="73" spans="1:32" s="1565" customFormat="1" ht="11.45" customHeight="1">
      <c r="A73" s="914"/>
      <c r="B73" s="1560"/>
      <c r="C73" s="1560"/>
      <c r="D73" s="285"/>
      <c r="K73" s="1084"/>
      <c r="L73" s="1560"/>
      <c r="M73" s="1560"/>
      <c r="N73" s="1084"/>
      <c r="O73" s="1084"/>
      <c r="P73" s="1084"/>
      <c r="Q73" s="1084"/>
      <c r="R73" s="1560"/>
      <c r="S73" s="1084"/>
      <c r="T73" s="1084"/>
      <c r="U73" s="478"/>
      <c r="V73" s="1084"/>
      <c r="W73" s="1084"/>
      <c r="X73" s="1084"/>
      <c r="Y73" s="1084"/>
      <c r="Z73" s="1084"/>
      <c r="AA73" s="1556"/>
      <c r="AB73" s="500"/>
      <c r="AC73" s="500"/>
      <c r="AD73" s="500"/>
      <c r="AE73" s="500"/>
      <c r="AF73" s="1565">
        <v>11</v>
      </c>
    </row>
    <row r="74" spans="1:32" s="1565" customFormat="1" ht="11.45" customHeight="1">
      <c r="A74" s="914"/>
      <c r="B74" s="1560"/>
      <c r="C74" s="1560"/>
      <c r="D74" s="285"/>
      <c r="K74" s="1084"/>
      <c r="L74" s="1560"/>
      <c r="M74" s="1560"/>
      <c r="N74" s="1084"/>
      <c r="O74" s="1084"/>
      <c r="P74" s="1084"/>
      <c r="Q74" s="1084"/>
      <c r="R74" s="1560"/>
      <c r="S74" s="1084"/>
      <c r="T74" s="1084"/>
      <c r="U74" s="478"/>
      <c r="V74" s="1084"/>
      <c r="W74" s="1084"/>
      <c r="X74" s="1084"/>
      <c r="Y74" s="1084"/>
      <c r="Z74" s="1084"/>
      <c r="AA74" s="1556"/>
      <c r="AB74" s="500"/>
      <c r="AC74" s="500"/>
      <c r="AD74" s="500"/>
      <c r="AE74" s="500"/>
      <c r="AF74" s="1565">
        <v>11</v>
      </c>
    </row>
    <row r="75" spans="1:32" s="1565" customFormat="1" ht="11.45" customHeight="1">
      <c r="A75" s="914"/>
      <c r="B75" s="1560"/>
      <c r="C75" s="1560"/>
      <c r="D75" s="285"/>
      <c r="K75" s="1084"/>
      <c r="L75" s="1560"/>
      <c r="M75" s="1560"/>
      <c r="N75" s="1084"/>
      <c r="O75" s="1084"/>
      <c r="P75" s="1084"/>
      <c r="Q75" s="1084"/>
      <c r="R75" s="1560"/>
      <c r="S75" s="1084"/>
      <c r="T75" s="1084"/>
      <c r="U75" s="478"/>
      <c r="V75" s="1084"/>
      <c r="W75" s="1084"/>
      <c r="X75" s="1084"/>
      <c r="Y75" s="1084"/>
      <c r="Z75" s="1084"/>
      <c r="AA75" s="1556"/>
      <c r="AB75" s="500"/>
      <c r="AC75" s="500"/>
      <c r="AD75" s="500"/>
      <c r="AE75" s="500"/>
      <c r="AF75" s="1565">
        <v>11</v>
      </c>
    </row>
    <row r="76" spans="1:32" s="1565" customFormat="1" ht="11.45" customHeight="1">
      <c r="A76" s="914"/>
      <c r="B76" s="1560"/>
      <c r="C76" s="1560"/>
      <c r="D76" s="285"/>
      <c r="K76" s="1084"/>
      <c r="L76" s="1560"/>
      <c r="M76" s="1560"/>
      <c r="N76" s="1084"/>
      <c r="O76" s="1084"/>
      <c r="P76" s="1084"/>
      <c r="Q76" s="1084"/>
      <c r="R76" s="1560"/>
      <c r="S76" s="1084"/>
      <c r="T76" s="1084"/>
      <c r="U76" s="478"/>
      <c r="V76" s="1084"/>
      <c r="W76" s="1084"/>
      <c r="X76" s="1084"/>
      <c r="Y76" s="1084"/>
      <c r="Z76" s="1084"/>
      <c r="AA76" s="1556"/>
      <c r="AB76" s="500"/>
      <c r="AC76" s="500"/>
      <c r="AD76" s="500"/>
      <c r="AE76" s="500"/>
      <c r="AF76" s="1565">
        <v>11</v>
      </c>
    </row>
    <row r="77" spans="1:32" s="1565" customFormat="1" ht="11.45" customHeight="1">
      <c r="A77" s="914"/>
      <c r="B77" s="1560"/>
      <c r="C77" s="1560"/>
      <c r="D77" s="285"/>
      <c r="K77" s="1084"/>
      <c r="L77" s="1560"/>
      <c r="M77" s="1560"/>
      <c r="N77" s="1084"/>
      <c r="O77" s="1084"/>
      <c r="P77" s="1084"/>
      <c r="Q77" s="1084"/>
      <c r="R77" s="1560"/>
      <c r="S77" s="1084"/>
      <c r="T77" s="1084"/>
      <c r="U77" s="478"/>
      <c r="V77" s="1084"/>
      <c r="W77" s="1084"/>
      <c r="X77" s="1084"/>
      <c r="Y77" s="1084"/>
      <c r="Z77" s="1084"/>
      <c r="AA77" s="1556"/>
      <c r="AB77" s="500"/>
      <c r="AC77" s="500"/>
      <c r="AD77" s="500"/>
      <c r="AE77" s="500"/>
      <c r="AF77" s="1565">
        <v>11</v>
      </c>
    </row>
    <row r="78" spans="1:32" s="1565" customFormat="1" ht="11.45" customHeight="1">
      <c r="A78" s="914"/>
      <c r="B78" s="1560"/>
      <c r="C78" s="1560"/>
      <c r="D78" s="285"/>
      <c r="K78" s="1084"/>
      <c r="L78" s="1560"/>
      <c r="M78" s="1560"/>
      <c r="N78" s="1084"/>
      <c r="O78" s="1084"/>
      <c r="P78" s="1084"/>
      <c r="Q78" s="1084"/>
      <c r="R78" s="1560"/>
      <c r="S78" s="1084"/>
      <c r="T78" s="1084"/>
      <c r="U78" s="478"/>
      <c r="V78" s="1084"/>
      <c r="W78" s="1084"/>
      <c r="X78" s="1084"/>
      <c r="Y78" s="1084"/>
      <c r="Z78" s="1084"/>
      <c r="AA78" s="1556"/>
      <c r="AB78" s="500"/>
      <c r="AC78" s="500"/>
      <c r="AD78" s="500"/>
      <c r="AE78" s="500"/>
      <c r="AF78" s="1565">
        <v>11</v>
      </c>
    </row>
    <row r="79" spans="1:32" s="1565" customFormat="1" ht="11.45" customHeight="1">
      <c r="A79" s="914"/>
      <c r="B79" s="1560"/>
      <c r="C79" s="1560"/>
      <c r="D79" s="285"/>
      <c r="K79" s="1084"/>
      <c r="L79" s="1560"/>
      <c r="M79" s="1560"/>
      <c r="N79" s="1084"/>
      <c r="O79" s="1084"/>
      <c r="P79" s="1084"/>
      <c r="Q79" s="1084"/>
      <c r="R79" s="1560"/>
      <c r="S79" s="1084"/>
      <c r="T79" s="1084"/>
      <c r="U79" s="478"/>
      <c r="V79" s="1084"/>
      <c r="W79" s="1084"/>
      <c r="X79" s="1084"/>
      <c r="Y79" s="1084"/>
      <c r="Z79" s="1084"/>
      <c r="AA79" s="1556"/>
      <c r="AB79" s="500"/>
      <c r="AC79" s="500"/>
      <c r="AD79" s="500"/>
      <c r="AE79" s="500"/>
      <c r="AF79" s="1565">
        <v>11</v>
      </c>
    </row>
    <row r="80" spans="1:32" s="1565" customFormat="1" ht="11.45" customHeight="1">
      <c r="A80" s="914"/>
      <c r="B80" s="1560"/>
      <c r="C80" s="1560"/>
      <c r="D80" s="285"/>
      <c r="K80" s="1084"/>
      <c r="L80" s="1560"/>
      <c r="M80" s="1560"/>
      <c r="N80" s="1084"/>
      <c r="O80" s="1084"/>
      <c r="P80" s="1084"/>
      <c r="Q80" s="1084"/>
      <c r="R80" s="1560"/>
      <c r="S80" s="1084"/>
      <c r="T80" s="1084"/>
      <c r="U80" s="478"/>
      <c r="V80" s="1084"/>
      <c r="W80" s="1084"/>
      <c r="X80" s="1084"/>
      <c r="Y80" s="1084"/>
      <c r="Z80" s="1084"/>
      <c r="AA80" s="1556"/>
      <c r="AB80" s="500"/>
      <c r="AC80" s="500"/>
      <c r="AD80" s="500"/>
      <c r="AE80" s="500"/>
      <c r="AF80" s="1565">
        <v>11</v>
      </c>
    </row>
    <row r="81" spans="1:32" s="1565" customFormat="1" ht="11.45" customHeight="1">
      <c r="A81" s="914"/>
      <c r="B81" s="1560"/>
      <c r="C81" s="1560"/>
      <c r="D81" s="285"/>
      <c r="K81" s="1084"/>
      <c r="L81" s="1560"/>
      <c r="M81" s="1560"/>
      <c r="N81" s="1084"/>
      <c r="O81" s="1084"/>
      <c r="P81" s="1084"/>
      <c r="Q81" s="1084"/>
      <c r="R81" s="1560"/>
      <c r="S81" s="1084"/>
      <c r="T81" s="1084"/>
      <c r="U81" s="478"/>
      <c r="V81" s="1084"/>
      <c r="W81" s="1084"/>
      <c r="X81" s="1084"/>
      <c r="Y81" s="1084"/>
      <c r="Z81" s="1084"/>
      <c r="AA81" s="1556"/>
      <c r="AB81" s="500"/>
      <c r="AC81" s="500"/>
      <c r="AD81" s="500"/>
      <c r="AE81" s="500"/>
      <c r="AF81" s="1565">
        <v>11</v>
      </c>
    </row>
    <row r="82" spans="1:32" s="1565" customFormat="1" ht="11.45" customHeight="1">
      <c r="A82" s="914"/>
      <c r="B82" s="1560"/>
      <c r="C82" s="1560"/>
      <c r="D82" s="285"/>
      <c r="K82" s="1084"/>
      <c r="L82" s="1560"/>
      <c r="M82" s="1560"/>
      <c r="N82" s="1084"/>
      <c r="O82" s="1084"/>
      <c r="P82" s="1084"/>
      <c r="Q82" s="1084"/>
      <c r="R82" s="1560"/>
      <c r="S82" s="1084"/>
      <c r="T82" s="1084"/>
      <c r="U82" s="478"/>
      <c r="V82" s="1084"/>
      <c r="W82" s="1084"/>
      <c r="X82" s="1084"/>
      <c r="Y82" s="1084"/>
      <c r="Z82" s="1084"/>
      <c r="AA82" s="1556"/>
      <c r="AB82" s="500"/>
      <c r="AC82" s="500"/>
      <c r="AD82" s="500"/>
      <c r="AE82" s="500"/>
      <c r="AF82" s="1565">
        <v>11</v>
      </c>
    </row>
    <row r="83" spans="1:32" s="1565" customFormat="1" ht="11.45" customHeight="1">
      <c r="A83" s="914"/>
      <c r="B83" s="1560"/>
      <c r="C83" s="1560"/>
      <c r="D83" s="285"/>
      <c r="K83" s="1084"/>
      <c r="L83" s="1560"/>
      <c r="M83" s="1560"/>
      <c r="N83" s="1084"/>
      <c r="O83" s="1084"/>
      <c r="P83" s="1084"/>
      <c r="Q83" s="1084"/>
      <c r="R83" s="1560"/>
      <c r="S83" s="1084"/>
      <c r="T83" s="1084"/>
      <c r="U83" s="478"/>
      <c r="V83" s="1084"/>
      <c r="W83" s="1084"/>
      <c r="X83" s="1084"/>
      <c r="Y83" s="1084"/>
      <c r="Z83" s="1084"/>
      <c r="AA83" s="1556"/>
      <c r="AB83" s="500"/>
      <c r="AC83" s="500"/>
      <c r="AD83" s="500"/>
      <c r="AE83" s="500"/>
      <c r="AF83" s="1565">
        <v>11</v>
      </c>
    </row>
    <row r="84" spans="1:32" s="1565" customFormat="1" ht="11.45" customHeight="1">
      <c r="A84" s="914"/>
      <c r="B84" s="1560"/>
      <c r="C84" s="1560"/>
      <c r="D84" s="285"/>
      <c r="K84" s="1084"/>
      <c r="L84" s="1560"/>
      <c r="M84" s="1560"/>
      <c r="N84" s="1084"/>
      <c r="O84" s="1084"/>
      <c r="P84" s="1084"/>
      <c r="Q84" s="1084"/>
      <c r="R84" s="1560"/>
      <c r="S84" s="1084"/>
      <c r="T84" s="1084"/>
      <c r="U84" s="478"/>
      <c r="V84" s="1084"/>
      <c r="W84" s="1084"/>
      <c r="X84" s="1084"/>
      <c r="Y84" s="1084"/>
      <c r="Z84" s="1084"/>
      <c r="AA84" s="1556"/>
      <c r="AB84" s="500"/>
      <c r="AC84" s="500"/>
      <c r="AD84" s="500"/>
      <c r="AE84" s="500"/>
      <c r="AF84" s="1565">
        <v>11</v>
      </c>
    </row>
    <row r="85" spans="1:32" s="1565" customFormat="1" ht="11.45" customHeight="1">
      <c r="A85" s="914"/>
      <c r="B85" s="1560"/>
      <c r="C85" s="1560"/>
      <c r="D85" s="285"/>
      <c r="K85" s="1084"/>
      <c r="L85" s="1560"/>
      <c r="M85" s="1560"/>
      <c r="N85" s="1084"/>
      <c r="O85" s="1084"/>
      <c r="P85" s="1084"/>
      <c r="Q85" s="1084"/>
      <c r="R85" s="1560"/>
      <c r="S85" s="1084"/>
      <c r="T85" s="1084"/>
      <c r="U85" s="478"/>
      <c r="V85" s="1084"/>
      <c r="W85" s="1084"/>
      <c r="X85" s="1084"/>
      <c r="Y85" s="1084"/>
      <c r="Z85" s="1084"/>
      <c r="AA85" s="1556"/>
      <c r="AB85" s="500"/>
      <c r="AC85" s="500"/>
      <c r="AD85" s="500"/>
      <c r="AE85" s="500"/>
      <c r="AF85" s="1565">
        <v>11</v>
      </c>
    </row>
    <row r="86" spans="1:32" s="1565" customFormat="1" ht="11.45" customHeight="1">
      <c r="A86" s="914"/>
      <c r="B86" s="1560"/>
      <c r="C86" s="1560"/>
      <c r="D86" s="285"/>
      <c r="K86" s="1084"/>
      <c r="L86" s="1560"/>
      <c r="M86" s="1560"/>
      <c r="N86" s="1084"/>
      <c r="O86" s="1084"/>
      <c r="P86" s="1084"/>
      <c r="Q86" s="1084"/>
      <c r="R86" s="1560"/>
      <c r="S86" s="1084"/>
      <c r="T86" s="1084"/>
      <c r="U86" s="478"/>
      <c r="V86" s="1084"/>
      <c r="W86" s="1084"/>
      <c r="X86" s="1084"/>
      <c r="Y86" s="1084"/>
      <c r="Z86" s="1084"/>
      <c r="AA86" s="1556"/>
      <c r="AB86" s="500"/>
      <c r="AC86" s="500"/>
      <c r="AD86" s="500"/>
      <c r="AE86" s="500"/>
      <c r="AF86" s="1565">
        <v>11</v>
      </c>
    </row>
    <row r="87" spans="1:32" s="1565" customFormat="1" ht="11.45" customHeight="1">
      <c r="A87" s="914"/>
      <c r="B87" s="1560"/>
      <c r="C87" s="1560"/>
      <c r="D87" s="285"/>
      <c r="K87" s="1084"/>
      <c r="L87" s="1560"/>
      <c r="M87" s="1560"/>
      <c r="N87" s="1084"/>
      <c r="O87" s="1084"/>
      <c r="P87" s="1084"/>
      <c r="Q87" s="1084"/>
      <c r="R87" s="1560"/>
      <c r="S87" s="1084"/>
      <c r="T87" s="1084"/>
      <c r="U87" s="478"/>
      <c r="V87" s="1084"/>
      <c r="W87" s="1084"/>
      <c r="X87" s="1084"/>
      <c r="Y87" s="1084"/>
      <c r="Z87" s="1084"/>
      <c r="AA87" s="1556"/>
      <c r="AB87" s="500"/>
      <c r="AC87" s="500"/>
      <c r="AD87" s="500"/>
      <c r="AE87" s="500"/>
      <c r="AF87" s="1565">
        <v>11</v>
      </c>
    </row>
    <row r="88" spans="1:32" s="1565" customFormat="1" ht="11.45" customHeight="1">
      <c r="A88" s="914"/>
      <c r="B88" s="1560"/>
      <c r="C88" s="1560"/>
      <c r="D88" s="285"/>
      <c r="K88" s="1084"/>
      <c r="L88" s="1560"/>
      <c r="M88" s="1560"/>
      <c r="N88" s="1084"/>
      <c r="O88" s="1084"/>
      <c r="P88" s="1084"/>
      <c r="Q88" s="1084"/>
      <c r="R88" s="1560"/>
      <c r="S88" s="1084"/>
      <c r="T88" s="1084"/>
      <c r="U88" s="478"/>
      <c r="V88" s="1084"/>
      <c r="W88" s="1084"/>
      <c r="X88" s="1084"/>
      <c r="Y88" s="1084"/>
      <c r="Z88" s="1084"/>
      <c r="AA88" s="1556"/>
      <c r="AB88" s="500"/>
      <c r="AC88" s="500"/>
      <c r="AD88" s="500"/>
      <c r="AE88" s="500"/>
      <c r="AF88" s="1565">
        <v>11</v>
      </c>
    </row>
    <row r="89" spans="1:32" s="1565" customFormat="1" ht="11.45" customHeight="1">
      <c r="A89" s="914"/>
      <c r="B89" s="1560"/>
      <c r="C89" s="1560"/>
      <c r="D89" s="285"/>
      <c r="K89" s="1084"/>
      <c r="L89" s="1560"/>
      <c r="M89" s="1560"/>
      <c r="N89" s="1084"/>
      <c r="O89" s="1084"/>
      <c r="P89" s="1084"/>
      <c r="Q89" s="1084"/>
      <c r="R89" s="1560"/>
      <c r="S89" s="1084"/>
      <c r="T89" s="1084"/>
      <c r="U89" s="478"/>
      <c r="V89" s="1084"/>
      <c r="W89" s="1084"/>
      <c r="X89" s="1084"/>
      <c r="Y89" s="1084"/>
      <c r="Z89" s="1084"/>
      <c r="AA89" s="1556"/>
      <c r="AB89" s="500"/>
      <c r="AC89" s="500"/>
      <c r="AD89" s="500"/>
      <c r="AE89" s="500"/>
      <c r="AF89" s="1565">
        <v>11</v>
      </c>
    </row>
    <row r="90" spans="1:32" s="1565" customFormat="1" ht="11.45" customHeight="1">
      <c r="A90" s="914"/>
      <c r="B90" s="1560"/>
      <c r="C90" s="1560"/>
      <c r="D90" s="285"/>
      <c r="K90" s="1084"/>
      <c r="L90" s="1560"/>
      <c r="M90" s="1560"/>
      <c r="N90" s="1084"/>
      <c r="O90" s="1084"/>
      <c r="P90" s="1084"/>
      <c r="Q90" s="1084"/>
      <c r="R90" s="1560"/>
      <c r="S90" s="1084"/>
      <c r="T90" s="1084"/>
      <c r="U90" s="478"/>
      <c r="V90" s="1084"/>
      <c r="W90" s="1084"/>
      <c r="X90" s="1084"/>
      <c r="Y90" s="1084"/>
      <c r="Z90" s="1084"/>
      <c r="AA90" s="1556"/>
      <c r="AB90" s="500"/>
      <c r="AC90" s="500"/>
      <c r="AD90" s="500"/>
      <c r="AE90" s="500"/>
      <c r="AF90" s="1565">
        <v>11</v>
      </c>
    </row>
    <row r="91" spans="1:32" s="1565" customFormat="1" ht="11.45" customHeight="1">
      <c r="A91" s="914"/>
      <c r="B91" s="1560"/>
      <c r="C91" s="1560"/>
      <c r="D91" s="285"/>
      <c r="K91" s="1084"/>
      <c r="L91" s="1560"/>
      <c r="M91" s="1560"/>
      <c r="N91" s="1084"/>
      <c r="O91" s="1084"/>
      <c r="P91" s="1084"/>
      <c r="Q91" s="1084"/>
      <c r="R91" s="1560"/>
      <c r="S91" s="1084"/>
      <c r="T91" s="1084"/>
      <c r="U91" s="478"/>
      <c r="V91" s="1084"/>
      <c r="W91" s="1084"/>
      <c r="X91" s="1084"/>
      <c r="Y91" s="1084"/>
      <c r="Z91" s="1084"/>
      <c r="AA91" s="1556"/>
      <c r="AB91" s="500"/>
      <c r="AC91" s="500"/>
      <c r="AD91" s="500"/>
      <c r="AE91" s="500"/>
      <c r="AF91" s="1565">
        <v>11</v>
      </c>
    </row>
    <row r="92" spans="1:32" s="1565" customFormat="1" ht="11.45" customHeight="1">
      <c r="A92" s="914"/>
      <c r="B92" s="1560"/>
      <c r="C92" s="1560"/>
      <c r="D92" s="285"/>
      <c r="K92" s="1084"/>
      <c r="L92" s="1560"/>
      <c r="M92" s="1560"/>
      <c r="N92" s="1084"/>
      <c r="O92" s="1084"/>
      <c r="P92" s="1084"/>
      <c r="Q92" s="1084"/>
      <c r="R92" s="1560"/>
      <c r="S92" s="1084"/>
      <c r="T92" s="1084"/>
      <c r="U92" s="478"/>
      <c r="V92" s="1084"/>
      <c r="W92" s="1084"/>
      <c r="X92" s="1084"/>
      <c r="Y92" s="1084"/>
      <c r="Z92" s="1084"/>
      <c r="AA92" s="1556"/>
      <c r="AB92" s="500"/>
      <c r="AC92" s="500"/>
      <c r="AD92" s="500"/>
      <c r="AE92" s="500"/>
      <c r="AF92" s="1565">
        <v>11</v>
      </c>
    </row>
    <row r="93" spans="1:32" s="1565" customFormat="1" ht="11.45" customHeight="1">
      <c r="A93" s="914"/>
      <c r="B93" s="1560"/>
      <c r="C93" s="1560"/>
      <c r="D93" s="285"/>
      <c r="K93" s="1084"/>
      <c r="L93" s="1560"/>
      <c r="M93" s="1560"/>
      <c r="N93" s="1084"/>
      <c r="O93" s="1084"/>
      <c r="P93" s="1084"/>
      <c r="Q93" s="1084"/>
      <c r="R93" s="1560"/>
      <c r="S93" s="1084"/>
      <c r="T93" s="1084"/>
      <c r="U93" s="478"/>
      <c r="V93" s="1084"/>
      <c r="W93" s="1084"/>
      <c r="X93" s="1084"/>
      <c r="Y93" s="1084"/>
      <c r="Z93" s="1084"/>
      <c r="AA93" s="1556"/>
      <c r="AB93" s="500"/>
      <c r="AC93" s="500"/>
      <c r="AD93" s="500"/>
      <c r="AE93" s="500"/>
      <c r="AF93" s="1565">
        <v>11</v>
      </c>
    </row>
    <row r="94" spans="1:32" s="1565" customFormat="1" ht="11.45" customHeight="1">
      <c r="A94" s="914"/>
      <c r="B94" s="1560"/>
      <c r="C94" s="1560"/>
      <c r="D94" s="285"/>
      <c r="K94" s="1084"/>
      <c r="L94" s="1560"/>
      <c r="M94" s="1560"/>
      <c r="N94" s="1084"/>
      <c r="O94" s="1084"/>
      <c r="P94" s="1084"/>
      <c r="Q94" s="1084"/>
      <c r="R94" s="1560"/>
      <c r="S94" s="1084"/>
      <c r="T94" s="1084"/>
      <c r="U94" s="478"/>
      <c r="V94" s="1084"/>
      <c r="W94" s="1084"/>
      <c r="X94" s="1084"/>
      <c r="Y94" s="1084"/>
      <c r="Z94" s="1084"/>
      <c r="AA94" s="1556"/>
      <c r="AB94" s="500"/>
      <c r="AC94" s="500"/>
      <c r="AD94" s="500"/>
      <c r="AE94" s="500"/>
      <c r="AF94" s="1565">
        <v>11</v>
      </c>
    </row>
    <row r="95" spans="1:32" s="1565" customFormat="1" ht="11.45" customHeight="1">
      <c r="A95" s="914"/>
      <c r="B95" s="1560"/>
      <c r="C95" s="1560"/>
      <c r="D95" s="285"/>
      <c r="K95" s="1084"/>
      <c r="L95" s="1560"/>
      <c r="M95" s="1560"/>
      <c r="N95" s="1084"/>
      <c r="O95" s="1084"/>
      <c r="P95" s="1084"/>
      <c r="Q95" s="1084"/>
      <c r="R95" s="1560"/>
      <c r="S95" s="1084"/>
      <c r="T95" s="1084"/>
      <c r="U95" s="478"/>
      <c r="V95" s="1084"/>
      <c r="W95" s="1084"/>
      <c r="X95" s="1084"/>
      <c r="Y95" s="1084"/>
      <c r="Z95" s="1084"/>
      <c r="AA95" s="1556"/>
      <c r="AB95" s="500"/>
      <c r="AC95" s="500"/>
      <c r="AD95" s="500"/>
      <c r="AE95" s="500"/>
      <c r="AF95" s="1565">
        <v>11</v>
      </c>
    </row>
    <row r="96" spans="1:32" s="1565" customFormat="1" ht="11.45" customHeight="1">
      <c r="A96" s="914"/>
      <c r="B96" s="1560"/>
      <c r="C96" s="1560"/>
      <c r="D96" s="285"/>
      <c r="K96" s="1084"/>
      <c r="L96" s="1560"/>
      <c r="M96" s="1560"/>
      <c r="N96" s="1084"/>
      <c r="O96" s="1084"/>
      <c r="P96" s="1084"/>
      <c r="Q96" s="1084"/>
      <c r="R96" s="1560"/>
      <c r="S96" s="1084"/>
      <c r="T96" s="1084"/>
      <c r="U96" s="478"/>
      <c r="V96" s="1084"/>
      <c r="W96" s="1084"/>
      <c r="X96" s="1084"/>
      <c r="Y96" s="1084"/>
      <c r="Z96" s="1084"/>
      <c r="AA96" s="1556"/>
      <c r="AB96" s="500"/>
      <c r="AC96" s="500"/>
      <c r="AD96" s="500"/>
      <c r="AE96" s="500"/>
      <c r="AF96" s="1565">
        <v>11</v>
      </c>
    </row>
    <row r="97" spans="1:32" s="1565" customFormat="1" ht="11.45" customHeight="1">
      <c r="A97" s="914"/>
      <c r="B97" s="1560"/>
      <c r="C97" s="1560"/>
      <c r="D97" s="285"/>
      <c r="K97" s="1084"/>
      <c r="L97" s="1560"/>
      <c r="M97" s="1560"/>
      <c r="N97" s="1084"/>
      <c r="O97" s="1084"/>
      <c r="P97" s="1084"/>
      <c r="Q97" s="1084"/>
      <c r="R97" s="1560"/>
      <c r="S97" s="1084"/>
      <c r="T97" s="1084"/>
      <c r="U97" s="478"/>
      <c r="V97" s="1084"/>
      <c r="W97" s="1084"/>
      <c r="X97" s="1084"/>
      <c r="Y97" s="1084"/>
      <c r="Z97" s="1084"/>
      <c r="AA97" s="1556"/>
      <c r="AB97" s="500"/>
      <c r="AC97" s="500"/>
      <c r="AD97" s="500"/>
      <c r="AE97" s="500"/>
      <c r="AF97" s="1565">
        <v>11</v>
      </c>
    </row>
    <row r="98" spans="1:32" s="1565" customFormat="1" ht="11.45" customHeight="1">
      <c r="A98" s="914"/>
      <c r="B98" s="1560"/>
      <c r="C98" s="1560"/>
      <c r="D98" s="285"/>
      <c r="K98" s="1084"/>
      <c r="L98" s="1560"/>
      <c r="M98" s="1560"/>
      <c r="N98" s="1084"/>
      <c r="O98" s="1084"/>
      <c r="P98" s="1084"/>
      <c r="Q98" s="1084"/>
      <c r="R98" s="1560"/>
      <c r="S98" s="1084"/>
      <c r="T98" s="1084"/>
      <c r="U98" s="478"/>
      <c r="V98" s="1084"/>
      <c r="W98" s="1084"/>
      <c r="X98" s="1084"/>
      <c r="Y98" s="1084"/>
      <c r="Z98" s="1084"/>
      <c r="AA98" s="1556"/>
      <c r="AB98" s="500"/>
      <c r="AC98" s="500"/>
      <c r="AD98" s="500"/>
      <c r="AE98" s="500"/>
      <c r="AF98" s="1565">
        <v>11</v>
      </c>
    </row>
    <row r="99" spans="1:32" s="1565" customFormat="1" ht="11.45" customHeight="1">
      <c r="A99" s="914"/>
      <c r="B99" s="1560"/>
      <c r="C99" s="1560"/>
      <c r="D99" s="285"/>
      <c r="K99" s="1084"/>
      <c r="L99" s="1560"/>
      <c r="M99" s="1560"/>
      <c r="N99" s="1084"/>
      <c r="O99" s="1084"/>
      <c r="P99" s="1084"/>
      <c r="Q99" s="1084"/>
      <c r="R99" s="1560"/>
      <c r="S99" s="1084"/>
      <c r="T99" s="1084"/>
      <c r="U99" s="478"/>
      <c r="V99" s="1084"/>
      <c r="W99" s="1084"/>
      <c r="X99" s="1084"/>
      <c r="Y99" s="1084"/>
      <c r="Z99" s="1084"/>
      <c r="AA99" s="1556"/>
      <c r="AB99" s="500"/>
      <c r="AC99" s="500"/>
      <c r="AD99" s="500"/>
      <c r="AE99" s="500"/>
      <c r="AF99" s="1565">
        <v>11</v>
      </c>
    </row>
    <row r="100" spans="1:32" s="1565" customFormat="1" ht="11.45" customHeight="1">
      <c r="A100" s="914"/>
      <c r="B100" s="1560"/>
      <c r="C100" s="1560"/>
      <c r="D100" s="285"/>
      <c r="K100" s="1084"/>
      <c r="L100" s="1560"/>
      <c r="M100" s="1560"/>
      <c r="N100" s="1084"/>
      <c r="O100" s="1084"/>
      <c r="P100" s="1084"/>
      <c r="Q100" s="1084"/>
      <c r="R100" s="1560"/>
      <c r="S100" s="1084"/>
      <c r="T100" s="1084"/>
      <c r="U100" s="478"/>
      <c r="V100" s="1084"/>
      <c r="W100" s="1084"/>
      <c r="X100" s="1084"/>
      <c r="Y100" s="1084"/>
      <c r="Z100" s="1084"/>
      <c r="AA100" s="1556"/>
      <c r="AB100" s="500"/>
      <c r="AC100" s="500"/>
      <c r="AD100" s="500"/>
      <c r="AE100" s="500"/>
      <c r="AF100" s="1565">
        <v>11</v>
      </c>
    </row>
    <row r="101" spans="1:32" s="1565" customFormat="1" ht="11.45" customHeight="1">
      <c r="A101" s="914"/>
      <c r="B101" s="1560"/>
      <c r="C101" s="1560"/>
      <c r="D101" s="285"/>
      <c r="K101" s="1084"/>
      <c r="L101" s="1560"/>
      <c r="M101" s="1560"/>
      <c r="N101" s="1084"/>
      <c r="O101" s="1084"/>
      <c r="P101" s="1084"/>
      <c r="Q101" s="1084"/>
      <c r="R101" s="1560"/>
      <c r="S101" s="1084"/>
      <c r="T101" s="1084"/>
      <c r="U101" s="478"/>
      <c r="V101" s="1084"/>
      <c r="W101" s="1084"/>
      <c r="X101" s="1084"/>
      <c r="Y101" s="1084"/>
      <c r="Z101" s="1084"/>
      <c r="AA101" s="1556"/>
      <c r="AB101" s="500"/>
      <c r="AC101" s="500"/>
      <c r="AD101" s="500"/>
      <c r="AE101" s="500"/>
      <c r="AF101" s="1565">
        <v>11</v>
      </c>
    </row>
    <row r="102" spans="1:32" s="1565" customFormat="1" ht="11.45" customHeight="1">
      <c r="A102" s="914"/>
      <c r="B102" s="1560"/>
      <c r="C102" s="1560"/>
      <c r="D102" s="285"/>
      <c r="K102" s="1084"/>
      <c r="L102" s="1560"/>
      <c r="M102" s="1560"/>
      <c r="N102" s="1084"/>
      <c r="O102" s="1084"/>
      <c r="P102" s="1084"/>
      <c r="Q102" s="1084"/>
      <c r="R102" s="1560"/>
      <c r="S102" s="1084"/>
      <c r="T102" s="1084"/>
      <c r="U102" s="478"/>
      <c r="V102" s="1084"/>
      <c r="W102" s="1084"/>
      <c r="X102" s="1084"/>
      <c r="Y102" s="1084"/>
      <c r="Z102" s="1084"/>
      <c r="AA102" s="1556"/>
      <c r="AB102" s="500"/>
      <c r="AC102" s="500"/>
      <c r="AD102" s="500"/>
      <c r="AE102" s="500"/>
      <c r="AF102" s="1565">
        <v>11</v>
      </c>
    </row>
    <row r="103" spans="1:32" s="1565" customFormat="1" ht="11.45" customHeight="1">
      <c r="A103" s="914"/>
      <c r="B103" s="1560"/>
      <c r="C103" s="1560"/>
      <c r="D103" s="285"/>
      <c r="K103" s="1084"/>
      <c r="L103" s="1560"/>
      <c r="M103" s="1560"/>
      <c r="N103" s="1084"/>
      <c r="O103" s="1084"/>
      <c r="P103" s="1084"/>
      <c r="Q103" s="1084"/>
      <c r="R103" s="1560"/>
      <c r="S103" s="1084"/>
      <c r="T103" s="1084"/>
      <c r="U103" s="478"/>
      <c r="V103" s="1084"/>
      <c r="W103" s="1084"/>
      <c r="X103" s="1084"/>
      <c r="Y103" s="1084"/>
      <c r="Z103" s="1084"/>
      <c r="AA103" s="1556"/>
      <c r="AB103" s="500"/>
      <c r="AC103" s="500"/>
      <c r="AD103" s="500"/>
      <c r="AE103" s="500"/>
      <c r="AF103" s="1565">
        <v>11</v>
      </c>
    </row>
    <row r="104" spans="1:32" s="1565" customFormat="1" ht="11.45" customHeight="1">
      <c r="A104" s="914"/>
      <c r="B104" s="1560"/>
      <c r="C104" s="1560"/>
      <c r="D104" s="285"/>
      <c r="K104" s="1084"/>
      <c r="L104" s="1560"/>
      <c r="M104" s="1560"/>
      <c r="N104" s="1084"/>
      <c r="O104" s="1084"/>
      <c r="P104" s="1084"/>
      <c r="Q104" s="1084"/>
      <c r="R104" s="1560"/>
      <c r="S104" s="1084"/>
      <c r="T104" s="1084"/>
      <c r="U104" s="478"/>
      <c r="V104" s="1084"/>
      <c r="W104" s="1084"/>
      <c r="X104" s="1084"/>
      <c r="Y104" s="1084"/>
      <c r="Z104" s="1084"/>
      <c r="AA104" s="1556"/>
      <c r="AB104" s="500"/>
      <c r="AC104" s="500"/>
      <c r="AD104" s="500"/>
      <c r="AE104" s="500"/>
      <c r="AF104" s="1565">
        <v>11</v>
      </c>
    </row>
    <row r="105" spans="1:32" s="1565" customFormat="1" ht="11.45" customHeight="1">
      <c r="A105" s="914"/>
      <c r="B105" s="1560"/>
      <c r="C105" s="1560"/>
      <c r="D105" s="285"/>
      <c r="K105" s="1084"/>
      <c r="L105" s="1560"/>
      <c r="M105" s="1560"/>
      <c r="N105" s="1084"/>
      <c r="O105" s="1084"/>
      <c r="P105" s="1084"/>
      <c r="Q105" s="1084"/>
      <c r="R105" s="1560"/>
      <c r="S105" s="1084"/>
      <c r="T105" s="1084"/>
      <c r="U105" s="478"/>
      <c r="V105" s="1084"/>
      <c r="W105" s="1084"/>
      <c r="X105" s="1084"/>
      <c r="Y105" s="1084"/>
      <c r="Z105" s="1084"/>
      <c r="AA105" s="1556"/>
      <c r="AB105" s="500"/>
      <c r="AC105" s="500"/>
      <c r="AD105" s="500"/>
      <c r="AE105" s="500"/>
      <c r="AF105" s="1565">
        <v>11</v>
      </c>
    </row>
    <row r="106" spans="1:32" s="1565" customFormat="1" ht="11.45" customHeight="1">
      <c r="A106" s="914"/>
      <c r="B106" s="1560"/>
      <c r="C106" s="1560"/>
      <c r="D106" s="285"/>
      <c r="K106" s="1084"/>
      <c r="L106" s="1560"/>
      <c r="M106" s="1560"/>
      <c r="N106" s="1084"/>
      <c r="O106" s="1084"/>
      <c r="P106" s="1084"/>
      <c r="Q106" s="1084"/>
      <c r="R106" s="1560"/>
      <c r="S106" s="1084"/>
      <c r="T106" s="1084"/>
      <c r="U106" s="478"/>
      <c r="V106" s="1084"/>
      <c r="W106" s="1084"/>
      <c r="X106" s="1084"/>
      <c r="Y106" s="1084"/>
      <c r="Z106" s="1084"/>
      <c r="AA106" s="1556"/>
      <c r="AB106" s="500"/>
      <c r="AC106" s="500"/>
      <c r="AD106" s="500"/>
      <c r="AE106" s="500"/>
      <c r="AF106" s="1565">
        <v>11</v>
      </c>
    </row>
    <row r="107" spans="1:32" s="1565" customFormat="1" ht="11.45" customHeight="1">
      <c r="A107" s="914"/>
      <c r="B107" s="1560"/>
      <c r="C107" s="1560"/>
      <c r="D107" s="285"/>
      <c r="K107" s="1084"/>
      <c r="L107" s="1560"/>
      <c r="M107" s="1560"/>
      <c r="N107" s="1084"/>
      <c r="O107" s="1084"/>
      <c r="P107" s="1084"/>
      <c r="Q107" s="1084"/>
      <c r="R107" s="1560"/>
      <c r="S107" s="1084"/>
      <c r="T107" s="1084"/>
      <c r="U107" s="478"/>
      <c r="V107" s="1084"/>
      <c r="W107" s="1084"/>
      <c r="X107" s="1084"/>
      <c r="Y107" s="1084"/>
      <c r="Z107" s="1084"/>
      <c r="AA107" s="1556"/>
      <c r="AB107" s="500"/>
      <c r="AC107" s="500"/>
      <c r="AD107" s="500"/>
      <c r="AE107" s="500"/>
      <c r="AF107" s="1565">
        <v>11</v>
      </c>
    </row>
    <row r="108" spans="1:32" s="1565" customFormat="1" ht="11.45" customHeight="1">
      <c r="A108" s="914"/>
      <c r="B108" s="1560"/>
      <c r="C108" s="1560"/>
      <c r="D108" s="285"/>
      <c r="K108" s="1084"/>
      <c r="L108" s="1560"/>
      <c r="M108" s="1560"/>
      <c r="N108" s="1084"/>
      <c r="O108" s="1084"/>
      <c r="P108" s="1084"/>
      <c r="Q108" s="1084"/>
      <c r="R108" s="1560"/>
      <c r="S108" s="1084"/>
      <c r="T108" s="1084"/>
      <c r="U108" s="478"/>
      <c r="V108" s="1084"/>
      <c r="W108" s="1084"/>
      <c r="X108" s="1084"/>
      <c r="Y108" s="1084"/>
      <c r="Z108" s="1084"/>
      <c r="AA108" s="1556"/>
      <c r="AB108" s="500"/>
      <c r="AC108" s="500"/>
      <c r="AD108" s="500"/>
      <c r="AE108" s="500"/>
      <c r="AF108" s="1565">
        <v>11</v>
      </c>
    </row>
    <row r="109" spans="1:32" s="1565" customFormat="1" ht="11.45" customHeight="1">
      <c r="A109" s="914"/>
      <c r="B109" s="1560"/>
      <c r="C109" s="1560"/>
      <c r="D109" s="285"/>
      <c r="K109" s="1084"/>
      <c r="L109" s="1560"/>
      <c r="M109" s="1560"/>
      <c r="N109" s="1084"/>
      <c r="O109" s="1084"/>
      <c r="P109" s="1084"/>
      <c r="Q109" s="1084"/>
      <c r="R109" s="1560"/>
      <c r="S109" s="1084"/>
      <c r="T109" s="1084"/>
      <c r="U109" s="478"/>
      <c r="V109" s="1084"/>
      <c r="W109" s="1084"/>
      <c r="X109" s="1084"/>
      <c r="Y109" s="1084"/>
      <c r="Z109" s="1084"/>
      <c r="AA109" s="1556"/>
      <c r="AB109" s="500"/>
      <c r="AC109" s="500"/>
      <c r="AD109" s="500"/>
      <c r="AE109" s="500"/>
      <c r="AF109" s="1565">
        <v>11</v>
      </c>
    </row>
    <row r="110" spans="1:32" s="1565" customFormat="1" ht="11.45" customHeight="1">
      <c r="A110" s="914"/>
      <c r="B110" s="1560"/>
      <c r="C110" s="1560"/>
      <c r="D110" s="285"/>
      <c r="K110" s="1084"/>
      <c r="L110" s="1560"/>
      <c r="M110" s="1560"/>
      <c r="N110" s="1084"/>
      <c r="O110" s="1084"/>
      <c r="P110" s="1084"/>
      <c r="Q110" s="1084"/>
      <c r="R110" s="1560"/>
      <c r="S110" s="1084"/>
      <c r="T110" s="1084"/>
      <c r="U110" s="478"/>
      <c r="V110" s="1084"/>
      <c r="W110" s="1084"/>
      <c r="X110" s="1084"/>
      <c r="Y110" s="1084"/>
      <c r="Z110" s="1084"/>
      <c r="AA110" s="1556"/>
      <c r="AB110" s="500"/>
      <c r="AC110" s="500"/>
      <c r="AD110" s="500"/>
      <c r="AE110" s="500"/>
      <c r="AF110" s="1565">
        <v>11</v>
      </c>
    </row>
    <row r="111" spans="1:32" s="1565" customFormat="1" ht="11.45" customHeight="1">
      <c r="A111" s="914"/>
      <c r="B111" s="1560"/>
      <c r="C111" s="1560"/>
      <c r="D111" s="285"/>
      <c r="K111" s="1084"/>
      <c r="L111" s="1560"/>
      <c r="M111" s="1560"/>
      <c r="N111" s="1084"/>
      <c r="O111" s="1084"/>
      <c r="P111" s="1084"/>
      <c r="Q111" s="1084"/>
      <c r="R111" s="1560"/>
      <c r="S111" s="1084"/>
      <c r="T111" s="1084"/>
      <c r="U111" s="478"/>
      <c r="V111" s="1084"/>
      <c r="W111" s="1084"/>
      <c r="X111" s="1084"/>
      <c r="Y111" s="1084"/>
      <c r="Z111" s="1084"/>
      <c r="AA111" s="1556"/>
      <c r="AB111" s="500"/>
      <c r="AC111" s="500"/>
      <c r="AD111" s="500"/>
      <c r="AE111" s="500"/>
      <c r="AF111" s="1565">
        <v>11</v>
      </c>
    </row>
    <row r="112" spans="1:32" s="1565" customFormat="1" ht="11.45" customHeight="1">
      <c r="A112" s="914"/>
      <c r="B112" s="1560"/>
      <c r="C112" s="1560"/>
      <c r="D112" s="285"/>
      <c r="K112" s="1084"/>
      <c r="L112" s="1560"/>
      <c r="M112" s="1560"/>
      <c r="N112" s="1084"/>
      <c r="O112" s="1084"/>
      <c r="P112" s="1084"/>
      <c r="Q112" s="1084"/>
      <c r="R112" s="1560"/>
      <c r="S112" s="1084"/>
      <c r="T112" s="1084"/>
      <c r="U112" s="478"/>
      <c r="V112" s="1084"/>
      <c r="W112" s="1084"/>
      <c r="X112" s="1084"/>
      <c r="Y112" s="1084"/>
      <c r="Z112" s="1084"/>
      <c r="AA112" s="1556"/>
      <c r="AB112" s="500"/>
      <c r="AC112" s="500"/>
      <c r="AD112" s="500"/>
      <c r="AE112" s="500"/>
      <c r="AF112" s="1565">
        <v>11</v>
      </c>
    </row>
    <row r="113" spans="1:32" s="1565" customFormat="1" ht="11.45" customHeight="1">
      <c r="A113" s="914"/>
      <c r="B113" s="1560"/>
      <c r="C113" s="1560"/>
      <c r="D113" s="285"/>
      <c r="K113" s="1084"/>
      <c r="L113" s="1560"/>
      <c r="M113" s="1560"/>
      <c r="N113" s="1084"/>
      <c r="O113" s="1084"/>
      <c r="P113" s="1084"/>
      <c r="Q113" s="1084"/>
      <c r="R113" s="1560"/>
      <c r="S113" s="1084"/>
      <c r="T113" s="1084"/>
      <c r="U113" s="478"/>
      <c r="V113" s="1084"/>
      <c r="W113" s="1084"/>
      <c r="X113" s="1084"/>
      <c r="Y113" s="1084"/>
      <c r="Z113" s="1084"/>
      <c r="AA113" s="1556"/>
      <c r="AB113" s="500"/>
      <c r="AC113" s="500"/>
      <c r="AD113" s="500"/>
      <c r="AE113" s="500"/>
      <c r="AF113" s="1565">
        <v>11</v>
      </c>
    </row>
    <row r="114" spans="1:32" s="1565" customFormat="1" ht="11.45" customHeight="1">
      <c r="A114" s="914"/>
      <c r="B114" s="1560"/>
      <c r="C114" s="1560"/>
      <c r="D114" s="285"/>
      <c r="K114" s="1084"/>
      <c r="L114" s="1560"/>
      <c r="M114" s="1560"/>
      <c r="N114" s="1084"/>
      <c r="O114" s="1084"/>
      <c r="P114" s="1084"/>
      <c r="Q114" s="1084"/>
      <c r="R114" s="1560"/>
      <c r="S114" s="1084"/>
      <c r="T114" s="1084"/>
      <c r="U114" s="478"/>
      <c r="V114" s="1084"/>
      <c r="W114" s="1084"/>
      <c r="X114" s="1084"/>
      <c r="Y114" s="1084"/>
      <c r="Z114" s="1084"/>
      <c r="AA114" s="1556"/>
      <c r="AB114" s="500"/>
      <c r="AC114" s="500"/>
      <c r="AD114" s="500"/>
      <c r="AE114" s="500"/>
      <c r="AF114" s="1565">
        <v>11</v>
      </c>
    </row>
    <row r="115" spans="1:32" s="1565" customFormat="1" ht="11.45" customHeight="1">
      <c r="A115" s="914"/>
      <c r="B115" s="1560"/>
      <c r="C115" s="1560"/>
      <c r="D115" s="285"/>
      <c r="K115" s="1084"/>
      <c r="L115" s="1560"/>
      <c r="M115" s="1560"/>
      <c r="N115" s="1084"/>
      <c r="O115" s="1084"/>
      <c r="P115" s="1084"/>
      <c r="Q115" s="1084"/>
      <c r="R115" s="1560"/>
      <c r="S115" s="1084"/>
      <c r="T115" s="1084"/>
      <c r="U115" s="478"/>
      <c r="V115" s="1084"/>
      <c r="W115" s="1084"/>
      <c r="X115" s="1084"/>
      <c r="Y115" s="1084"/>
      <c r="Z115" s="1084"/>
      <c r="AA115" s="1556"/>
      <c r="AB115" s="500"/>
      <c r="AC115" s="500"/>
      <c r="AD115" s="500"/>
      <c r="AE115" s="500"/>
      <c r="AF115" s="1565">
        <v>11</v>
      </c>
    </row>
    <row r="116" spans="1:32" s="1565" customFormat="1" ht="11.45" customHeight="1">
      <c r="A116" s="914"/>
      <c r="B116" s="1560"/>
      <c r="C116" s="1560"/>
      <c r="D116" s="285"/>
      <c r="K116" s="1084"/>
      <c r="L116" s="1560"/>
      <c r="M116" s="1560"/>
      <c r="N116" s="1084"/>
      <c r="O116" s="1084"/>
      <c r="P116" s="1084"/>
      <c r="Q116" s="1084"/>
      <c r="R116" s="1560"/>
      <c r="S116" s="1084"/>
      <c r="T116" s="1084"/>
      <c r="U116" s="478"/>
      <c r="V116" s="1084"/>
      <c r="W116" s="1084"/>
      <c r="X116" s="1084"/>
      <c r="Y116" s="1084"/>
      <c r="Z116" s="1084"/>
      <c r="AA116" s="1556"/>
      <c r="AB116" s="500"/>
      <c r="AC116" s="500"/>
      <c r="AD116" s="500"/>
      <c r="AE116" s="500"/>
      <c r="AF116" s="1565">
        <v>11</v>
      </c>
    </row>
    <row r="117" spans="1:32" s="1565" customFormat="1" ht="11.45" customHeight="1">
      <c r="A117" s="914"/>
      <c r="B117" s="1560"/>
      <c r="C117" s="1560"/>
      <c r="D117" s="285"/>
      <c r="K117" s="1084"/>
      <c r="L117" s="1560"/>
      <c r="M117" s="1560"/>
      <c r="N117" s="1084"/>
      <c r="O117" s="1084"/>
      <c r="P117" s="1084"/>
      <c r="Q117" s="1084"/>
      <c r="R117" s="1560"/>
      <c r="S117" s="1084"/>
      <c r="T117" s="1084"/>
      <c r="U117" s="478"/>
      <c r="V117" s="1084"/>
      <c r="W117" s="1084"/>
      <c r="X117" s="1084"/>
      <c r="Y117" s="1084"/>
      <c r="Z117" s="1084"/>
      <c r="AA117" s="1556"/>
      <c r="AB117" s="500"/>
      <c r="AC117" s="500"/>
      <c r="AD117" s="500"/>
      <c r="AE117" s="500"/>
      <c r="AF117" s="1565">
        <v>11</v>
      </c>
    </row>
    <row r="118" spans="1:32" s="1565" customFormat="1" ht="11.45" customHeight="1">
      <c r="A118" s="914"/>
      <c r="B118" s="1560"/>
      <c r="C118" s="1560"/>
      <c r="D118" s="285"/>
      <c r="K118" s="1084"/>
      <c r="L118" s="1560"/>
      <c r="M118" s="1560"/>
      <c r="N118" s="1084"/>
      <c r="O118" s="1084"/>
      <c r="P118" s="1084"/>
      <c r="Q118" s="1084"/>
      <c r="R118" s="1560"/>
      <c r="S118" s="1084"/>
      <c r="T118" s="1084"/>
      <c r="U118" s="478"/>
      <c r="V118" s="1084"/>
      <c r="W118" s="1084"/>
      <c r="X118" s="1084"/>
      <c r="Y118" s="1084"/>
      <c r="Z118" s="1084"/>
      <c r="AA118" s="1556"/>
      <c r="AB118" s="500"/>
      <c r="AC118" s="500"/>
      <c r="AD118" s="500"/>
      <c r="AE118" s="500"/>
      <c r="AF118" s="1565">
        <v>11</v>
      </c>
    </row>
    <row r="119" spans="1:32" s="1565" customFormat="1" ht="11.45" customHeight="1">
      <c r="A119" s="914"/>
      <c r="B119" s="1560"/>
      <c r="C119" s="1560"/>
      <c r="D119" s="285"/>
      <c r="K119" s="1084"/>
      <c r="L119" s="1560"/>
      <c r="M119" s="1560"/>
      <c r="N119" s="1084"/>
      <c r="O119" s="1084"/>
      <c r="P119" s="1084"/>
      <c r="Q119" s="1084"/>
      <c r="R119" s="1560"/>
      <c r="S119" s="1084"/>
      <c r="T119" s="1084"/>
      <c r="U119" s="478"/>
      <c r="V119" s="1084"/>
      <c r="W119" s="1084"/>
      <c r="X119" s="1084"/>
      <c r="Y119" s="1084"/>
      <c r="Z119" s="1084"/>
      <c r="AA119" s="1556"/>
      <c r="AB119" s="500"/>
      <c r="AC119" s="500"/>
      <c r="AD119" s="500"/>
      <c r="AE119" s="500"/>
      <c r="AF119" s="1565">
        <v>11</v>
      </c>
    </row>
    <row r="120" spans="1:32" s="1565" customFormat="1" ht="11.45" customHeight="1">
      <c r="A120" s="914"/>
      <c r="B120" s="1560"/>
      <c r="C120" s="1560"/>
      <c r="D120" s="285"/>
      <c r="K120" s="1084"/>
      <c r="L120" s="1560"/>
      <c r="M120" s="1560"/>
      <c r="N120" s="1084"/>
      <c r="O120" s="1084"/>
      <c r="P120" s="1084"/>
      <c r="Q120" s="1084"/>
      <c r="R120" s="1560"/>
      <c r="S120" s="1084"/>
      <c r="T120" s="1084"/>
      <c r="U120" s="478"/>
      <c r="V120" s="1084"/>
      <c r="W120" s="1084"/>
      <c r="X120" s="1084"/>
      <c r="Y120" s="1084"/>
      <c r="Z120" s="1084"/>
      <c r="AA120" s="1556"/>
      <c r="AB120" s="500"/>
      <c r="AC120" s="500"/>
      <c r="AD120" s="500"/>
      <c r="AE120" s="500"/>
      <c r="AF120" s="1565">
        <v>11</v>
      </c>
    </row>
    <row r="121" spans="1:32" s="1565" customFormat="1" ht="11.45" customHeight="1">
      <c r="A121" s="914"/>
      <c r="B121" s="1560"/>
      <c r="C121" s="1560"/>
      <c r="D121" s="285"/>
      <c r="K121" s="1084"/>
      <c r="L121" s="1560"/>
      <c r="M121" s="1560"/>
      <c r="N121" s="1084"/>
      <c r="O121" s="1084"/>
      <c r="P121" s="1084"/>
      <c r="Q121" s="1084"/>
      <c r="R121" s="1560"/>
      <c r="S121" s="1084"/>
      <c r="T121" s="1084"/>
      <c r="U121" s="478"/>
      <c r="V121" s="1084"/>
      <c r="W121" s="1084"/>
      <c r="X121" s="1084"/>
      <c r="Y121" s="1084"/>
      <c r="Z121" s="1084"/>
      <c r="AA121" s="1556"/>
      <c r="AB121" s="500"/>
      <c r="AC121" s="500"/>
      <c r="AD121" s="500"/>
      <c r="AE121" s="500"/>
      <c r="AF121" s="1565">
        <v>11</v>
      </c>
    </row>
    <row r="122" spans="1:32" s="1565" customFormat="1" ht="11.45" customHeight="1">
      <c r="A122" s="914"/>
      <c r="B122" s="1560"/>
      <c r="C122" s="1560"/>
      <c r="D122" s="285"/>
      <c r="K122" s="1084"/>
      <c r="L122" s="1560"/>
      <c r="M122" s="1560"/>
      <c r="N122" s="1084"/>
      <c r="O122" s="1084"/>
      <c r="P122" s="1084"/>
      <c r="Q122" s="1084"/>
      <c r="R122" s="1560"/>
      <c r="S122" s="1084"/>
      <c r="T122" s="1084"/>
      <c r="U122" s="478"/>
      <c r="V122" s="1084"/>
      <c r="W122" s="1084"/>
      <c r="X122" s="1084"/>
      <c r="Y122" s="1084"/>
      <c r="Z122" s="1084"/>
      <c r="AA122" s="1556"/>
      <c r="AB122" s="500"/>
      <c r="AC122" s="500"/>
      <c r="AD122" s="500"/>
      <c r="AE122" s="500"/>
      <c r="AF122" s="1565">
        <v>11</v>
      </c>
    </row>
    <row r="123" spans="1:32" s="1565" customFormat="1" ht="11.45" customHeight="1">
      <c r="A123" s="914"/>
      <c r="B123" s="1560"/>
      <c r="C123" s="1560"/>
      <c r="D123" s="285"/>
      <c r="K123" s="1084"/>
      <c r="L123" s="1560"/>
      <c r="M123" s="1560"/>
      <c r="N123" s="1084"/>
      <c r="O123" s="1084"/>
      <c r="P123" s="1084"/>
      <c r="Q123" s="1084"/>
      <c r="R123" s="1560"/>
      <c r="S123" s="1084"/>
      <c r="T123" s="1084"/>
      <c r="U123" s="478"/>
      <c r="V123" s="1084"/>
      <c r="W123" s="1084"/>
      <c r="X123" s="1084"/>
      <c r="Y123" s="1084"/>
      <c r="Z123" s="1084"/>
      <c r="AA123" s="1556"/>
      <c r="AB123" s="500"/>
      <c r="AC123" s="500"/>
      <c r="AD123" s="500"/>
      <c r="AE123" s="500"/>
      <c r="AF123" s="1565">
        <v>11</v>
      </c>
    </row>
    <row r="124" spans="1:32" s="1565" customFormat="1" ht="11.45" customHeight="1">
      <c r="A124" s="914"/>
      <c r="B124" s="1560"/>
      <c r="C124" s="1560"/>
      <c r="D124" s="285"/>
      <c r="K124" s="1084"/>
      <c r="L124" s="1560"/>
      <c r="M124" s="1560"/>
      <c r="N124" s="1084"/>
      <c r="O124" s="1084"/>
      <c r="P124" s="1084"/>
      <c r="Q124" s="1084"/>
      <c r="R124" s="1560"/>
      <c r="S124" s="1084"/>
      <c r="T124" s="1084"/>
      <c r="U124" s="478"/>
      <c r="V124" s="1084"/>
      <c r="W124" s="1084"/>
      <c r="X124" s="1084"/>
      <c r="Y124" s="1084"/>
      <c r="Z124" s="1084"/>
      <c r="AA124" s="1556"/>
      <c r="AB124" s="500"/>
      <c r="AC124" s="500"/>
      <c r="AD124" s="500"/>
      <c r="AE124" s="500"/>
      <c r="AF124" s="1565">
        <v>11</v>
      </c>
    </row>
    <row r="125" spans="1:32" s="1565" customFormat="1" ht="11.45" customHeight="1">
      <c r="A125" s="914"/>
      <c r="B125" s="1560"/>
      <c r="C125" s="1560"/>
      <c r="D125" s="285"/>
      <c r="K125" s="1084"/>
      <c r="L125" s="1560"/>
      <c r="M125" s="1560"/>
      <c r="N125" s="1084"/>
      <c r="O125" s="1084"/>
      <c r="P125" s="1084"/>
      <c r="Q125" s="1084"/>
      <c r="R125" s="1560"/>
      <c r="S125" s="1084"/>
      <c r="T125" s="1084"/>
      <c r="U125" s="478"/>
      <c r="V125" s="1084"/>
      <c r="W125" s="1084"/>
      <c r="X125" s="1084"/>
      <c r="Y125" s="1084"/>
      <c r="Z125" s="1084"/>
      <c r="AA125" s="1556"/>
      <c r="AB125" s="500"/>
      <c r="AC125" s="500"/>
      <c r="AD125" s="500"/>
      <c r="AE125" s="500"/>
      <c r="AF125" s="1565">
        <v>11</v>
      </c>
    </row>
    <row r="126" spans="1:32" s="1565" customFormat="1" ht="11.45" customHeight="1">
      <c r="A126" s="914"/>
      <c r="B126" s="1560"/>
      <c r="C126" s="1560"/>
      <c r="D126" s="285"/>
      <c r="K126" s="1084"/>
      <c r="L126" s="1560"/>
      <c r="M126" s="1560"/>
      <c r="N126" s="1084"/>
      <c r="O126" s="1084"/>
      <c r="P126" s="1084"/>
      <c r="Q126" s="1084"/>
      <c r="R126" s="1560"/>
      <c r="S126" s="1084"/>
      <c r="T126" s="1084"/>
      <c r="U126" s="478"/>
      <c r="V126" s="1084"/>
      <c r="W126" s="1084"/>
      <c r="X126" s="1084"/>
      <c r="Y126" s="1084"/>
      <c r="Z126" s="1084"/>
      <c r="AA126" s="1556"/>
      <c r="AB126" s="500"/>
      <c r="AC126" s="500"/>
      <c r="AD126" s="500"/>
      <c r="AE126" s="500"/>
      <c r="AF126" s="1565">
        <v>11</v>
      </c>
    </row>
    <row r="127" spans="1:32" s="1565" customFormat="1" ht="11.45" customHeight="1">
      <c r="A127" s="914"/>
      <c r="B127" s="1560"/>
      <c r="C127" s="1560"/>
      <c r="D127" s="285"/>
      <c r="K127" s="1084"/>
      <c r="L127" s="1560"/>
      <c r="M127" s="1560"/>
      <c r="N127" s="1084"/>
      <c r="O127" s="1084"/>
      <c r="P127" s="1084"/>
      <c r="Q127" s="1084"/>
      <c r="R127" s="1560"/>
      <c r="S127" s="1084"/>
      <c r="T127" s="1084"/>
      <c r="U127" s="478"/>
      <c r="V127" s="1084"/>
      <c r="W127" s="1084"/>
      <c r="X127" s="1084"/>
      <c r="Y127" s="1084"/>
      <c r="Z127" s="1084"/>
      <c r="AA127" s="1556"/>
      <c r="AB127" s="500"/>
      <c r="AC127" s="500"/>
      <c r="AD127" s="500"/>
      <c r="AE127" s="500"/>
      <c r="AF127" s="1565">
        <v>11</v>
      </c>
    </row>
    <row r="128" spans="1:32" s="1565" customFormat="1" ht="11.45" customHeight="1">
      <c r="A128" s="914"/>
      <c r="B128" s="1560"/>
      <c r="C128" s="1560"/>
      <c r="D128" s="285"/>
      <c r="K128" s="1084"/>
      <c r="L128" s="1560"/>
      <c r="M128" s="1560"/>
      <c r="N128" s="1084"/>
      <c r="O128" s="1084"/>
      <c r="P128" s="1084"/>
      <c r="Q128" s="1084"/>
      <c r="R128" s="1560"/>
      <c r="S128" s="1084"/>
      <c r="T128" s="1084"/>
      <c r="U128" s="478"/>
      <c r="V128" s="1084"/>
      <c r="W128" s="1084"/>
      <c r="X128" s="1084"/>
      <c r="Y128" s="1084"/>
      <c r="Z128" s="1084"/>
      <c r="AA128" s="1556"/>
      <c r="AB128" s="500"/>
      <c r="AC128" s="500"/>
      <c r="AD128" s="500"/>
      <c r="AE128" s="500"/>
      <c r="AF128" s="1565">
        <v>11</v>
      </c>
    </row>
    <row r="129" spans="1:32" s="1565" customFormat="1" ht="11.45" customHeight="1">
      <c r="A129" s="914"/>
      <c r="B129" s="1560"/>
      <c r="C129" s="1560"/>
      <c r="D129" s="285"/>
      <c r="K129" s="1084"/>
      <c r="L129" s="1560"/>
      <c r="M129" s="1560"/>
      <c r="N129" s="1084"/>
      <c r="O129" s="1084"/>
      <c r="P129" s="1084"/>
      <c r="Q129" s="1084"/>
      <c r="R129" s="1560"/>
      <c r="S129" s="1084"/>
      <c r="T129" s="1084"/>
      <c r="U129" s="478"/>
      <c r="V129" s="1084"/>
      <c r="W129" s="1084"/>
      <c r="X129" s="1084"/>
      <c r="Y129" s="1084"/>
      <c r="Z129" s="1084"/>
      <c r="AA129" s="1556"/>
      <c r="AB129" s="500"/>
      <c r="AC129" s="500"/>
      <c r="AD129" s="500"/>
      <c r="AE129" s="500"/>
      <c r="AF129" s="1565">
        <v>11</v>
      </c>
    </row>
    <row r="130" spans="1:32" s="1565" customFormat="1" ht="11.45" customHeight="1">
      <c r="A130" s="914"/>
      <c r="B130" s="1560"/>
      <c r="C130" s="1560"/>
      <c r="D130" s="285"/>
      <c r="K130" s="1084"/>
      <c r="L130" s="1560"/>
      <c r="M130" s="1560"/>
      <c r="N130" s="1084"/>
      <c r="O130" s="1084"/>
      <c r="P130" s="1084"/>
      <c r="Q130" s="1084"/>
      <c r="R130" s="1560"/>
      <c r="S130" s="1084"/>
      <c r="T130" s="1084"/>
      <c r="U130" s="478"/>
      <c r="V130" s="1084"/>
      <c r="W130" s="1084"/>
      <c r="X130" s="1084"/>
      <c r="Y130" s="1084"/>
      <c r="Z130" s="1084"/>
      <c r="AA130" s="1556"/>
      <c r="AB130" s="500"/>
      <c r="AC130" s="500"/>
      <c r="AD130" s="500"/>
      <c r="AE130" s="500"/>
      <c r="AF130" s="1565">
        <v>11</v>
      </c>
    </row>
    <row r="131" spans="1:32" s="1565" customFormat="1" ht="11.45" customHeight="1">
      <c r="A131" s="914"/>
      <c r="B131" s="1560"/>
      <c r="C131" s="1560"/>
      <c r="D131" s="285"/>
      <c r="K131" s="1084"/>
      <c r="L131" s="1560"/>
      <c r="M131" s="1560"/>
      <c r="N131" s="1084"/>
      <c r="O131" s="1084"/>
      <c r="P131" s="1084"/>
      <c r="Q131" s="1084"/>
      <c r="R131" s="1560"/>
      <c r="S131" s="1084"/>
      <c r="T131" s="1084"/>
      <c r="U131" s="478"/>
      <c r="V131" s="1084"/>
      <c r="W131" s="1084"/>
      <c r="X131" s="1084"/>
      <c r="Y131" s="1084"/>
      <c r="Z131" s="1084"/>
      <c r="AA131" s="1556"/>
      <c r="AB131" s="500"/>
      <c r="AC131" s="500"/>
      <c r="AD131" s="500"/>
      <c r="AE131" s="500"/>
      <c r="AF131" s="1565">
        <v>11</v>
      </c>
    </row>
    <row r="132" spans="1:32" s="1565" customFormat="1" ht="11.45" customHeight="1">
      <c r="A132" s="914"/>
      <c r="B132" s="1560"/>
      <c r="C132" s="1560"/>
      <c r="D132" s="285"/>
      <c r="K132" s="1084"/>
      <c r="L132" s="1560"/>
      <c r="M132" s="1560"/>
      <c r="N132" s="1084"/>
      <c r="O132" s="1084"/>
      <c r="P132" s="1084"/>
      <c r="Q132" s="1084"/>
      <c r="R132" s="1560"/>
      <c r="S132" s="1084"/>
      <c r="T132" s="1084"/>
      <c r="U132" s="478"/>
      <c r="V132" s="1084"/>
      <c r="W132" s="1084"/>
      <c r="X132" s="1084"/>
      <c r="Y132" s="1084"/>
      <c r="Z132" s="1084"/>
      <c r="AA132" s="1556"/>
      <c r="AB132" s="500"/>
      <c r="AC132" s="500"/>
      <c r="AD132" s="500"/>
      <c r="AE132" s="500"/>
      <c r="AF132" s="1565">
        <v>11</v>
      </c>
    </row>
    <row r="133" spans="1:32" s="1565" customFormat="1" ht="11.45" customHeight="1">
      <c r="A133" s="914"/>
      <c r="B133" s="1560"/>
      <c r="C133" s="1560"/>
      <c r="D133" s="285"/>
      <c r="K133" s="1084"/>
      <c r="L133" s="1560"/>
      <c r="M133" s="1560"/>
      <c r="N133" s="1084"/>
      <c r="O133" s="1084"/>
      <c r="P133" s="1084"/>
      <c r="Q133" s="1084"/>
      <c r="R133" s="1560"/>
      <c r="S133" s="1084"/>
      <c r="T133" s="1084"/>
      <c r="U133" s="478"/>
      <c r="V133" s="1084"/>
      <c r="W133" s="1084"/>
      <c r="X133" s="1084"/>
      <c r="Y133" s="1084"/>
      <c r="Z133" s="1084"/>
      <c r="AA133" s="1556"/>
      <c r="AB133" s="500"/>
      <c r="AC133" s="500"/>
      <c r="AD133" s="500"/>
      <c r="AE133" s="500"/>
      <c r="AF133" s="1565">
        <v>11</v>
      </c>
    </row>
    <row r="134" spans="1:32" s="1565" customFormat="1" ht="11.45" customHeight="1">
      <c r="A134" s="914"/>
      <c r="B134" s="1560"/>
      <c r="C134" s="1560"/>
      <c r="D134" s="285"/>
      <c r="K134" s="1084"/>
      <c r="L134" s="1560"/>
      <c r="M134" s="1560"/>
      <c r="N134" s="1084"/>
      <c r="O134" s="1084"/>
      <c r="P134" s="1084"/>
      <c r="Q134" s="1084"/>
      <c r="R134" s="1560"/>
      <c r="S134" s="1084"/>
      <c r="T134" s="1084"/>
      <c r="U134" s="478"/>
      <c r="V134" s="1084"/>
      <c r="W134" s="1084"/>
      <c r="X134" s="1084"/>
      <c r="Y134" s="1084"/>
      <c r="Z134" s="1084"/>
      <c r="AA134" s="1556"/>
      <c r="AB134" s="500"/>
      <c r="AC134" s="500"/>
      <c r="AD134" s="500"/>
      <c r="AE134" s="500"/>
      <c r="AF134" s="1565">
        <v>11</v>
      </c>
    </row>
    <row r="135" spans="1:32" s="1565" customFormat="1" ht="11.45" customHeight="1">
      <c r="A135" s="914"/>
      <c r="B135" s="1560"/>
      <c r="C135" s="1560"/>
      <c r="D135" s="285"/>
      <c r="K135" s="1084"/>
      <c r="L135" s="1560"/>
      <c r="M135" s="1560"/>
      <c r="N135" s="1084"/>
      <c r="O135" s="1084"/>
      <c r="P135" s="1084"/>
      <c r="Q135" s="1084"/>
      <c r="R135" s="1560"/>
      <c r="S135" s="1084"/>
      <c r="T135" s="1084"/>
      <c r="U135" s="478"/>
      <c r="V135" s="1084"/>
      <c r="W135" s="1084"/>
      <c r="X135" s="1084"/>
      <c r="Y135" s="1084"/>
      <c r="Z135" s="1084"/>
      <c r="AA135" s="1556"/>
      <c r="AB135" s="500"/>
      <c r="AC135" s="500"/>
      <c r="AD135" s="500"/>
      <c r="AE135" s="500"/>
      <c r="AF135" s="1565">
        <v>11</v>
      </c>
    </row>
    <row r="136" spans="1:32" s="1565" customFormat="1" ht="11.45" customHeight="1">
      <c r="A136" s="914"/>
      <c r="B136" s="1560"/>
      <c r="C136" s="1560"/>
      <c r="D136" s="285"/>
      <c r="K136" s="1084"/>
      <c r="L136" s="1560"/>
      <c r="M136" s="1560"/>
      <c r="N136" s="1084"/>
      <c r="O136" s="1084"/>
      <c r="P136" s="1084"/>
      <c r="Q136" s="1084"/>
      <c r="R136" s="1560"/>
      <c r="S136" s="1084"/>
      <c r="T136" s="1084"/>
      <c r="U136" s="478"/>
      <c r="V136" s="1084"/>
      <c r="W136" s="1084"/>
      <c r="X136" s="1084"/>
      <c r="Y136" s="1084"/>
      <c r="Z136" s="1084"/>
      <c r="AA136" s="1556"/>
      <c r="AB136" s="500"/>
      <c r="AC136" s="500"/>
      <c r="AD136" s="500"/>
      <c r="AE136" s="500"/>
      <c r="AF136" s="1565">
        <v>11</v>
      </c>
    </row>
    <row r="137" spans="1:32" s="1565" customFormat="1" ht="11.45" customHeight="1">
      <c r="A137" s="914"/>
      <c r="B137" s="1560"/>
      <c r="C137" s="1560"/>
      <c r="D137" s="285"/>
      <c r="K137" s="1084"/>
      <c r="L137" s="1560"/>
      <c r="M137" s="1560"/>
      <c r="N137" s="1084"/>
      <c r="O137" s="1084"/>
      <c r="P137" s="1084"/>
      <c r="Q137" s="1084"/>
      <c r="R137" s="1560"/>
      <c r="S137" s="1084"/>
      <c r="T137" s="1084"/>
      <c r="U137" s="478"/>
      <c r="V137" s="1084"/>
      <c r="W137" s="1084"/>
      <c r="X137" s="1084"/>
      <c r="Y137" s="1084"/>
      <c r="Z137" s="1084"/>
      <c r="AA137" s="1556"/>
      <c r="AB137" s="500"/>
      <c r="AC137" s="500"/>
      <c r="AD137" s="500"/>
      <c r="AE137" s="500"/>
      <c r="AF137" s="1565">
        <v>11</v>
      </c>
    </row>
    <row r="138" spans="1:32" s="1565" customFormat="1" ht="11.45" customHeight="1">
      <c r="A138" s="914"/>
      <c r="B138" s="1560"/>
      <c r="C138" s="1560"/>
      <c r="D138" s="285"/>
      <c r="K138" s="1084"/>
      <c r="L138" s="1560"/>
      <c r="M138" s="1560"/>
      <c r="N138" s="1084"/>
      <c r="O138" s="1084"/>
      <c r="P138" s="1084"/>
      <c r="Q138" s="1084"/>
      <c r="R138" s="1560"/>
      <c r="S138" s="1084"/>
      <c r="T138" s="1084"/>
      <c r="U138" s="478"/>
      <c r="V138" s="1084"/>
      <c r="W138" s="1084"/>
      <c r="X138" s="1084"/>
      <c r="Y138" s="1084"/>
      <c r="Z138" s="1084"/>
      <c r="AA138" s="1556"/>
      <c r="AB138" s="500"/>
      <c r="AC138" s="500"/>
      <c r="AD138" s="500"/>
      <c r="AE138" s="500"/>
      <c r="AF138" s="1565">
        <v>11</v>
      </c>
    </row>
    <row r="139" spans="1:32" s="1565" customFormat="1" ht="11.45" customHeight="1">
      <c r="A139" s="914"/>
      <c r="B139" s="1560"/>
      <c r="C139" s="1560"/>
      <c r="D139" s="285"/>
      <c r="K139" s="1084"/>
      <c r="L139" s="1560"/>
      <c r="M139" s="1560"/>
      <c r="N139" s="1084"/>
      <c r="O139" s="1084"/>
      <c r="P139" s="1084"/>
      <c r="Q139" s="1084"/>
      <c r="R139" s="1560"/>
      <c r="S139" s="1084"/>
      <c r="T139" s="1084"/>
      <c r="U139" s="478"/>
      <c r="V139" s="1084"/>
      <c r="W139" s="1084"/>
      <c r="X139" s="1084"/>
      <c r="Y139" s="1084"/>
      <c r="Z139" s="1084"/>
      <c r="AA139" s="1556"/>
      <c r="AB139" s="500"/>
      <c r="AC139" s="500"/>
      <c r="AD139" s="500"/>
      <c r="AE139" s="500"/>
      <c r="AF139" s="1565">
        <v>11</v>
      </c>
    </row>
    <row r="140" spans="1:32" s="1565" customFormat="1" ht="11.45" customHeight="1">
      <c r="A140" s="914"/>
      <c r="B140" s="1560"/>
      <c r="C140" s="1560"/>
      <c r="D140" s="285"/>
      <c r="K140" s="1084"/>
      <c r="L140" s="1560"/>
      <c r="M140" s="1560"/>
      <c r="N140" s="1084"/>
      <c r="O140" s="1084"/>
      <c r="P140" s="1084"/>
      <c r="Q140" s="1084"/>
      <c r="R140" s="1560"/>
      <c r="S140" s="1084"/>
      <c r="T140" s="1084"/>
      <c r="U140" s="478"/>
      <c r="V140" s="1084"/>
      <c r="W140" s="1084"/>
      <c r="X140" s="1084"/>
      <c r="Y140" s="1084"/>
      <c r="Z140" s="1084"/>
      <c r="AA140" s="1556"/>
      <c r="AB140" s="500"/>
      <c r="AC140" s="500"/>
      <c r="AD140" s="500"/>
      <c r="AE140" s="500"/>
      <c r="AF140" s="1565">
        <v>11</v>
      </c>
    </row>
    <row r="141" spans="1:32" s="1565" customFormat="1" ht="11.45" customHeight="1">
      <c r="A141" s="914"/>
      <c r="B141" s="1560"/>
      <c r="C141" s="1560"/>
      <c r="D141" s="285"/>
      <c r="K141" s="1084"/>
      <c r="L141" s="1560"/>
      <c r="M141" s="1560"/>
      <c r="N141" s="1084"/>
      <c r="O141" s="1084"/>
      <c r="P141" s="1084"/>
      <c r="Q141" s="1084"/>
      <c r="R141" s="1560"/>
      <c r="S141" s="1084"/>
      <c r="T141" s="1084"/>
      <c r="U141" s="478"/>
      <c r="V141" s="1084"/>
      <c r="W141" s="1084"/>
      <c r="X141" s="1084"/>
      <c r="Y141" s="1084"/>
      <c r="Z141" s="1084"/>
      <c r="AA141" s="1556"/>
      <c r="AB141" s="500"/>
      <c r="AC141" s="500"/>
      <c r="AD141" s="500"/>
      <c r="AE141" s="500"/>
      <c r="AF141" s="1565">
        <v>11</v>
      </c>
    </row>
    <row r="142" spans="1:32" s="1565" customFormat="1" ht="11.45" customHeight="1">
      <c r="A142" s="914"/>
      <c r="B142" s="1560"/>
      <c r="C142" s="1560"/>
      <c r="D142" s="285"/>
      <c r="K142" s="1084"/>
      <c r="L142" s="1560"/>
      <c r="M142" s="1560"/>
      <c r="N142" s="1084"/>
      <c r="O142" s="1084"/>
      <c r="P142" s="1084"/>
      <c r="Q142" s="1084"/>
      <c r="R142" s="1560"/>
      <c r="S142" s="1084"/>
      <c r="T142" s="1084"/>
      <c r="U142" s="478"/>
      <c r="V142" s="1084"/>
      <c r="W142" s="1084"/>
      <c r="X142" s="1084"/>
      <c r="Y142" s="1084"/>
      <c r="Z142" s="1084"/>
      <c r="AA142" s="1556"/>
      <c r="AB142" s="500"/>
      <c r="AC142" s="500"/>
      <c r="AD142" s="500"/>
      <c r="AE142" s="500"/>
      <c r="AF142" s="1565">
        <v>11</v>
      </c>
    </row>
    <row r="143" spans="1:32" s="1565" customFormat="1" ht="11.45" customHeight="1">
      <c r="A143" s="914"/>
      <c r="B143" s="1560"/>
      <c r="C143" s="1560"/>
      <c r="D143" s="285"/>
      <c r="K143" s="1084"/>
      <c r="L143" s="1560"/>
      <c r="M143" s="1560"/>
      <c r="N143" s="1084"/>
      <c r="O143" s="1084"/>
      <c r="P143" s="1084"/>
      <c r="Q143" s="1084"/>
      <c r="R143" s="1560"/>
      <c r="S143" s="1084"/>
      <c r="T143" s="1084"/>
      <c r="U143" s="478"/>
      <c r="V143" s="1084"/>
      <c r="W143" s="1084"/>
      <c r="X143" s="1084"/>
      <c r="Y143" s="1084"/>
      <c r="Z143" s="1084"/>
      <c r="AA143" s="1556"/>
      <c r="AB143" s="500"/>
      <c r="AC143" s="500"/>
      <c r="AD143" s="500"/>
      <c r="AE143" s="500"/>
      <c r="AF143" s="1565">
        <v>11</v>
      </c>
    </row>
    <row r="144" spans="1:32" s="1565" customFormat="1" ht="11.45" customHeight="1">
      <c r="A144" s="914"/>
      <c r="B144" s="1560"/>
      <c r="C144" s="1560"/>
      <c r="D144" s="285"/>
      <c r="K144" s="1084"/>
      <c r="L144" s="1560"/>
      <c r="M144" s="1560"/>
      <c r="N144" s="1084"/>
      <c r="O144" s="1084"/>
      <c r="P144" s="1084"/>
      <c r="Q144" s="1084"/>
      <c r="R144" s="1560"/>
      <c r="S144" s="1084"/>
      <c r="T144" s="1084"/>
      <c r="U144" s="478"/>
      <c r="V144" s="1084"/>
      <c r="W144" s="1084"/>
      <c r="X144" s="1084"/>
      <c r="Y144" s="1084"/>
      <c r="Z144" s="1084"/>
      <c r="AA144" s="1556"/>
      <c r="AB144" s="500"/>
      <c r="AC144" s="500"/>
      <c r="AD144" s="500"/>
      <c r="AE144" s="500"/>
      <c r="AF144" s="1565">
        <v>11</v>
      </c>
    </row>
    <row r="145" spans="1:32" s="1565" customFormat="1" ht="11.45" customHeight="1">
      <c r="A145" s="914"/>
      <c r="B145" s="1560"/>
      <c r="C145" s="1560"/>
      <c r="D145" s="285"/>
      <c r="K145" s="1084"/>
      <c r="L145" s="1560"/>
      <c r="M145" s="1560"/>
      <c r="N145" s="1084"/>
      <c r="O145" s="1084"/>
      <c r="P145" s="1084"/>
      <c r="Q145" s="1084"/>
      <c r="R145" s="1560"/>
      <c r="S145" s="1084"/>
      <c r="T145" s="1084"/>
      <c r="U145" s="478"/>
      <c r="V145" s="1084"/>
      <c r="W145" s="1084"/>
      <c r="X145" s="1084"/>
      <c r="Y145" s="1084"/>
      <c r="Z145" s="1084"/>
      <c r="AA145" s="1556"/>
      <c r="AB145" s="500"/>
      <c r="AC145" s="500"/>
      <c r="AD145" s="500"/>
      <c r="AE145" s="500"/>
      <c r="AF145" s="1565">
        <v>11</v>
      </c>
    </row>
    <row r="146" spans="1:32" s="1565" customFormat="1" ht="11.45" customHeight="1">
      <c r="A146" s="914"/>
      <c r="B146" s="1560"/>
      <c r="C146" s="1560"/>
      <c r="D146" s="285"/>
      <c r="K146" s="1084"/>
      <c r="L146" s="1560"/>
      <c r="M146" s="1560"/>
      <c r="N146" s="1084"/>
      <c r="O146" s="1084"/>
      <c r="P146" s="1084"/>
      <c r="Q146" s="1084"/>
      <c r="R146" s="1560"/>
      <c r="S146" s="1084"/>
      <c r="T146" s="1084"/>
      <c r="U146" s="478"/>
      <c r="V146" s="1084"/>
      <c r="W146" s="1084"/>
      <c r="X146" s="1084"/>
      <c r="Y146" s="1084"/>
      <c r="Z146" s="1084"/>
      <c r="AA146" s="1556"/>
      <c r="AB146" s="500"/>
      <c r="AC146" s="500"/>
      <c r="AD146" s="500"/>
      <c r="AE146" s="500"/>
      <c r="AF146" s="1565">
        <v>11</v>
      </c>
    </row>
    <row r="147" spans="1:32" s="1565" customFormat="1" ht="11.45" customHeight="1">
      <c r="A147" s="914"/>
      <c r="B147" s="1560"/>
      <c r="C147" s="1560"/>
      <c r="D147" s="285"/>
      <c r="K147" s="1084"/>
      <c r="L147" s="1560"/>
      <c r="M147" s="1560"/>
      <c r="N147" s="1084"/>
      <c r="O147" s="1084"/>
      <c r="P147" s="1084"/>
      <c r="Q147" s="1084"/>
      <c r="R147" s="1560"/>
      <c r="S147" s="1084"/>
      <c r="T147" s="1084"/>
      <c r="U147" s="478"/>
      <c r="V147" s="1084"/>
      <c r="W147" s="1084"/>
      <c r="X147" s="1084"/>
      <c r="Y147" s="1084"/>
      <c r="Z147" s="1084"/>
      <c r="AA147" s="1556"/>
      <c r="AB147" s="500"/>
      <c r="AC147" s="500"/>
      <c r="AD147" s="500"/>
      <c r="AE147" s="500"/>
      <c r="AF147" s="1565">
        <v>11</v>
      </c>
    </row>
    <row r="148" spans="1:32" s="1565" customFormat="1" ht="11.45" customHeight="1">
      <c r="A148" s="914"/>
      <c r="B148" s="1560"/>
      <c r="C148" s="1560"/>
      <c r="D148" s="285"/>
      <c r="K148" s="1084"/>
      <c r="L148" s="1560"/>
      <c r="M148" s="1560"/>
      <c r="N148" s="1084"/>
      <c r="O148" s="1084"/>
      <c r="P148" s="1084"/>
      <c r="Q148" s="1084"/>
      <c r="R148" s="1560"/>
      <c r="S148" s="1084"/>
      <c r="T148" s="1084"/>
      <c r="U148" s="478"/>
      <c r="V148" s="1084"/>
      <c r="W148" s="1084"/>
      <c r="X148" s="1084"/>
      <c r="Y148" s="1084"/>
      <c r="Z148" s="1084"/>
      <c r="AA148" s="1556"/>
      <c r="AB148" s="500"/>
      <c r="AC148" s="500"/>
      <c r="AD148" s="500"/>
      <c r="AE148" s="500"/>
      <c r="AF148" s="1565">
        <v>11</v>
      </c>
    </row>
    <row r="149" spans="1:32" s="1565" customFormat="1" ht="11.45" customHeight="1">
      <c r="A149" s="914"/>
      <c r="B149" s="1560"/>
      <c r="C149" s="1560"/>
      <c r="D149" s="285"/>
      <c r="K149" s="1084"/>
      <c r="L149" s="1560"/>
      <c r="M149" s="1560"/>
      <c r="N149" s="1084"/>
      <c r="O149" s="1084"/>
      <c r="P149" s="1084"/>
      <c r="Q149" s="1084"/>
      <c r="R149" s="1560"/>
      <c r="S149" s="1084"/>
      <c r="T149" s="1084"/>
      <c r="U149" s="478"/>
      <c r="V149" s="1084"/>
      <c r="W149" s="1084"/>
      <c r="X149" s="1084"/>
      <c r="Y149" s="1084"/>
      <c r="Z149" s="1084"/>
      <c r="AA149" s="1556"/>
      <c r="AB149" s="500"/>
      <c r="AC149" s="500"/>
      <c r="AD149" s="500"/>
      <c r="AE149" s="500"/>
      <c r="AF149" s="1565">
        <v>11</v>
      </c>
    </row>
    <row r="150" spans="1:32" s="1565" customFormat="1" ht="11.45" customHeight="1">
      <c r="A150" s="914"/>
      <c r="B150" s="1560"/>
      <c r="C150" s="1560"/>
      <c r="D150" s="285"/>
      <c r="K150" s="1084"/>
      <c r="L150" s="1560"/>
      <c r="M150" s="1560"/>
      <c r="N150" s="1084"/>
      <c r="O150" s="1084"/>
      <c r="P150" s="1084"/>
      <c r="Q150" s="1084"/>
      <c r="R150" s="1560"/>
      <c r="S150" s="1084"/>
      <c r="T150" s="1084"/>
      <c r="U150" s="478"/>
      <c r="V150" s="1084"/>
      <c r="W150" s="1084"/>
      <c r="X150" s="1084"/>
      <c r="Y150" s="1084"/>
      <c r="Z150" s="1084"/>
      <c r="AA150" s="1556"/>
      <c r="AB150" s="500"/>
      <c r="AC150" s="500"/>
      <c r="AD150" s="500"/>
      <c r="AE150" s="500"/>
      <c r="AF150" s="1565">
        <v>11</v>
      </c>
    </row>
    <row r="151" spans="1:32" s="1565" customFormat="1" ht="11.45" customHeight="1">
      <c r="A151" s="914"/>
      <c r="B151" s="1560"/>
      <c r="C151" s="1560"/>
      <c r="D151" s="285"/>
      <c r="K151" s="1084"/>
      <c r="L151" s="1560"/>
      <c r="M151" s="1560"/>
      <c r="N151" s="1084"/>
      <c r="O151" s="1084"/>
      <c r="P151" s="1084"/>
      <c r="Q151" s="1084"/>
      <c r="R151" s="1560"/>
      <c r="S151" s="1084"/>
      <c r="T151" s="1084"/>
      <c r="U151" s="478"/>
      <c r="V151" s="1084"/>
      <c r="W151" s="1084"/>
      <c r="X151" s="1084"/>
      <c r="Y151" s="1084"/>
      <c r="Z151" s="1084"/>
      <c r="AA151" s="1556"/>
      <c r="AB151" s="500"/>
      <c r="AC151" s="500"/>
      <c r="AD151" s="500"/>
      <c r="AE151" s="500"/>
      <c r="AF151" s="1565">
        <v>11</v>
      </c>
    </row>
    <row r="152" spans="1:32" s="1565" customFormat="1" ht="11.45" customHeight="1">
      <c r="A152" s="914"/>
      <c r="B152" s="1560"/>
      <c r="C152" s="1560"/>
      <c r="D152" s="285"/>
      <c r="K152" s="1084"/>
      <c r="L152" s="1560"/>
      <c r="M152" s="1560"/>
      <c r="N152" s="1084"/>
      <c r="O152" s="1084"/>
      <c r="P152" s="1084"/>
      <c r="Q152" s="1084"/>
      <c r="R152" s="1560"/>
      <c r="S152" s="1084"/>
      <c r="T152" s="1084"/>
      <c r="U152" s="478"/>
      <c r="V152" s="1084"/>
      <c r="W152" s="1084"/>
      <c r="X152" s="1084"/>
      <c r="Y152" s="1084"/>
      <c r="Z152" s="1084"/>
      <c r="AA152" s="1556"/>
      <c r="AB152" s="500"/>
      <c r="AC152" s="500"/>
      <c r="AD152" s="500"/>
      <c r="AE152" s="500"/>
      <c r="AF152" s="1565">
        <v>11</v>
      </c>
    </row>
    <row r="153" spans="1:32" s="1565" customFormat="1" ht="11.45" customHeight="1">
      <c r="A153" s="914"/>
      <c r="B153" s="1560"/>
      <c r="C153" s="1560"/>
      <c r="D153" s="285"/>
      <c r="K153" s="1084"/>
      <c r="L153" s="1560"/>
      <c r="M153" s="1560"/>
      <c r="N153" s="1084"/>
      <c r="O153" s="1084"/>
      <c r="P153" s="1084"/>
      <c r="Q153" s="1084"/>
      <c r="R153" s="1560"/>
      <c r="S153" s="1084"/>
      <c r="T153" s="1084"/>
      <c r="U153" s="478"/>
      <c r="V153" s="1084"/>
      <c r="W153" s="1084"/>
      <c r="X153" s="1084"/>
      <c r="Y153" s="1084"/>
      <c r="Z153" s="1084"/>
      <c r="AA153" s="1556"/>
      <c r="AB153" s="500"/>
      <c r="AC153" s="500"/>
      <c r="AD153" s="500"/>
      <c r="AE153" s="500"/>
      <c r="AF153" s="1565">
        <v>11</v>
      </c>
    </row>
    <row r="154" spans="1:32" s="1565" customFormat="1" ht="11.45" customHeight="1">
      <c r="A154" s="914"/>
      <c r="B154" s="1560"/>
      <c r="C154" s="1560"/>
      <c r="D154" s="285"/>
      <c r="K154" s="1084"/>
      <c r="L154" s="1560"/>
      <c r="M154" s="1560"/>
      <c r="N154" s="1084"/>
      <c r="O154" s="1084"/>
      <c r="P154" s="1084"/>
      <c r="Q154" s="1084"/>
      <c r="R154" s="1560"/>
      <c r="S154" s="1084"/>
      <c r="T154" s="1084"/>
      <c r="U154" s="478"/>
      <c r="V154" s="1084"/>
      <c r="W154" s="1084"/>
      <c r="X154" s="1084"/>
      <c r="Y154" s="1084"/>
      <c r="Z154" s="1084"/>
      <c r="AA154" s="1556"/>
      <c r="AB154" s="500"/>
      <c r="AC154" s="500"/>
      <c r="AD154" s="500"/>
      <c r="AE154" s="500"/>
      <c r="AF154" s="1565">
        <v>11</v>
      </c>
    </row>
    <row r="155" spans="1:32" s="1565" customFormat="1" ht="11.45" customHeight="1">
      <c r="A155" s="914"/>
      <c r="B155" s="1560"/>
      <c r="C155" s="1560"/>
      <c r="D155" s="285"/>
      <c r="K155" s="1084"/>
      <c r="L155" s="1560"/>
      <c r="M155" s="1560"/>
      <c r="N155" s="1084"/>
      <c r="O155" s="1084"/>
      <c r="P155" s="1084"/>
      <c r="Q155" s="1084"/>
      <c r="R155" s="1560"/>
      <c r="S155" s="1084"/>
      <c r="T155" s="1084"/>
      <c r="U155" s="478"/>
      <c r="V155" s="1084"/>
      <c r="W155" s="1084"/>
      <c r="X155" s="1084"/>
      <c r="Y155" s="1084"/>
      <c r="Z155" s="1084"/>
      <c r="AA155" s="1556"/>
      <c r="AB155" s="500"/>
      <c r="AC155" s="500"/>
      <c r="AD155" s="500"/>
      <c r="AE155" s="500"/>
      <c r="AF155" s="1565">
        <v>11</v>
      </c>
    </row>
    <row r="156" spans="1:32" s="1565" customFormat="1" ht="11.45" customHeight="1">
      <c r="A156" s="914"/>
      <c r="B156" s="1560"/>
      <c r="C156" s="1560"/>
      <c r="D156" s="285"/>
      <c r="K156" s="1084"/>
      <c r="L156" s="1560"/>
      <c r="M156" s="1560"/>
      <c r="N156" s="1084"/>
      <c r="O156" s="1084"/>
      <c r="P156" s="1084"/>
      <c r="Q156" s="1084"/>
      <c r="R156" s="1560"/>
      <c r="S156" s="1084"/>
      <c r="T156" s="1084"/>
      <c r="U156" s="478"/>
      <c r="V156" s="1084"/>
      <c r="W156" s="1084"/>
      <c r="X156" s="1084"/>
      <c r="Y156" s="1084"/>
      <c r="Z156" s="1084"/>
      <c r="AA156" s="1556"/>
      <c r="AB156" s="500"/>
      <c r="AC156" s="500"/>
      <c r="AD156" s="500"/>
      <c r="AE156" s="500"/>
      <c r="AF156" s="1565">
        <v>11</v>
      </c>
    </row>
    <row r="157" spans="1:32" s="1565" customFormat="1" ht="11.45" customHeight="1">
      <c r="A157" s="914"/>
      <c r="B157" s="1560"/>
      <c r="C157" s="1560"/>
      <c r="D157" s="285"/>
      <c r="K157" s="1084"/>
      <c r="L157" s="1560"/>
      <c r="M157" s="1560"/>
      <c r="N157" s="1084"/>
      <c r="O157" s="1084"/>
      <c r="P157" s="1084"/>
      <c r="Q157" s="1084"/>
      <c r="R157" s="1560"/>
      <c r="S157" s="1084"/>
      <c r="T157" s="1084"/>
      <c r="U157" s="478"/>
      <c r="V157" s="1084"/>
      <c r="W157" s="1084"/>
      <c r="X157" s="1084"/>
      <c r="Y157" s="1084"/>
      <c r="Z157" s="1084"/>
      <c r="AA157" s="1556"/>
      <c r="AB157" s="500"/>
      <c r="AC157" s="500"/>
      <c r="AD157" s="500"/>
      <c r="AE157" s="500"/>
      <c r="AF157" s="1565">
        <v>11</v>
      </c>
    </row>
    <row r="158" spans="1:32" s="1565" customFormat="1" ht="11.45" customHeight="1">
      <c r="A158" s="914"/>
      <c r="B158" s="1560"/>
      <c r="C158" s="1560"/>
      <c r="D158" s="285"/>
      <c r="K158" s="1084"/>
      <c r="L158" s="1560"/>
      <c r="M158" s="1560"/>
      <c r="N158" s="1084"/>
      <c r="O158" s="1084"/>
      <c r="P158" s="1084"/>
      <c r="Q158" s="1084"/>
      <c r="R158" s="1560"/>
      <c r="S158" s="1084"/>
      <c r="T158" s="1084"/>
      <c r="U158" s="478"/>
      <c r="V158" s="1084"/>
      <c r="W158" s="1084"/>
      <c r="X158" s="1084"/>
      <c r="Y158" s="1084"/>
      <c r="Z158" s="1084"/>
      <c r="AA158" s="1556"/>
      <c r="AB158" s="500"/>
      <c r="AC158" s="500"/>
      <c r="AD158" s="500"/>
      <c r="AE158" s="500"/>
      <c r="AF158" s="1565">
        <v>11</v>
      </c>
    </row>
    <row r="159" spans="1:32" s="1565" customFormat="1" ht="11.45" customHeight="1">
      <c r="A159" s="914"/>
      <c r="B159" s="1560"/>
      <c r="C159" s="1560"/>
      <c r="D159" s="285"/>
      <c r="K159" s="1084"/>
      <c r="L159" s="1560"/>
      <c r="M159" s="1560"/>
      <c r="N159" s="1084"/>
      <c r="O159" s="1084"/>
      <c r="P159" s="1084"/>
      <c r="Q159" s="1084"/>
      <c r="R159" s="1560"/>
      <c r="S159" s="1084"/>
      <c r="T159" s="1084"/>
      <c r="U159" s="478"/>
      <c r="V159" s="1084"/>
      <c r="W159" s="1084"/>
      <c r="X159" s="1084"/>
      <c r="Y159" s="1084"/>
      <c r="Z159" s="1084"/>
      <c r="AA159" s="1556"/>
      <c r="AB159" s="500"/>
      <c r="AC159" s="500"/>
      <c r="AD159" s="500"/>
      <c r="AE159" s="500"/>
      <c r="AF159" s="1565">
        <v>11</v>
      </c>
    </row>
    <row r="160" spans="1:32" s="1565" customFormat="1" ht="11.45" customHeight="1">
      <c r="A160" s="914"/>
      <c r="B160" s="1560"/>
      <c r="C160" s="1560"/>
      <c r="D160" s="285"/>
      <c r="K160" s="1084"/>
      <c r="L160" s="1560"/>
      <c r="M160" s="1560"/>
      <c r="N160" s="1084"/>
      <c r="O160" s="1084"/>
      <c r="P160" s="1084"/>
      <c r="Q160" s="1084"/>
      <c r="R160" s="1560"/>
      <c r="S160" s="1084"/>
      <c r="T160" s="1084"/>
      <c r="U160" s="478"/>
      <c r="V160" s="1084"/>
      <c r="W160" s="1084"/>
      <c r="X160" s="1084"/>
      <c r="Y160" s="1084"/>
      <c r="Z160" s="1084"/>
      <c r="AA160" s="1556"/>
      <c r="AB160" s="500"/>
      <c r="AC160" s="500"/>
      <c r="AD160" s="500"/>
      <c r="AE160" s="500"/>
      <c r="AF160" s="1565">
        <v>11</v>
      </c>
    </row>
    <row r="161" spans="1:32" s="1565" customFormat="1" ht="11.45" customHeight="1">
      <c r="A161" s="914"/>
      <c r="B161" s="1560"/>
      <c r="C161" s="1560"/>
      <c r="D161" s="285"/>
      <c r="K161" s="1084"/>
      <c r="L161" s="1560"/>
      <c r="M161" s="1560"/>
      <c r="N161" s="1084"/>
      <c r="O161" s="1084"/>
      <c r="P161" s="1084"/>
      <c r="Q161" s="1084"/>
      <c r="R161" s="1560"/>
      <c r="S161" s="1084"/>
      <c r="T161" s="1084"/>
      <c r="U161" s="478"/>
      <c r="V161" s="1084"/>
      <c r="W161" s="1084"/>
      <c r="X161" s="1084"/>
      <c r="Y161" s="1084"/>
      <c r="Z161" s="1084"/>
      <c r="AA161" s="1556"/>
      <c r="AB161" s="500"/>
      <c r="AC161" s="500"/>
      <c r="AD161" s="500"/>
      <c r="AE161" s="500"/>
      <c r="AF161" s="1565">
        <v>11</v>
      </c>
    </row>
    <row r="162" spans="1:32" s="1565" customFormat="1" ht="11.45" customHeight="1">
      <c r="A162" s="914"/>
      <c r="B162" s="1560"/>
      <c r="C162" s="1560"/>
      <c r="D162" s="285"/>
      <c r="K162" s="1084"/>
      <c r="L162" s="1560"/>
      <c r="M162" s="1560"/>
      <c r="N162" s="1084"/>
      <c r="O162" s="1084"/>
      <c r="P162" s="1084"/>
      <c r="Q162" s="1084"/>
      <c r="R162" s="1560"/>
      <c r="S162" s="1084"/>
      <c r="T162" s="1084"/>
      <c r="U162" s="478"/>
      <c r="V162" s="1084"/>
      <c r="W162" s="1084"/>
      <c r="X162" s="1084"/>
      <c r="Y162" s="1084"/>
      <c r="Z162" s="1084"/>
      <c r="AA162" s="1556"/>
      <c r="AB162" s="500"/>
      <c r="AC162" s="500"/>
      <c r="AD162" s="500"/>
      <c r="AE162" s="500"/>
      <c r="AF162" s="1565">
        <v>11</v>
      </c>
    </row>
    <row r="163" spans="1:32" s="1565" customFormat="1" ht="11.45" customHeight="1">
      <c r="A163" s="914"/>
      <c r="B163" s="1560"/>
      <c r="C163" s="1560"/>
      <c r="D163" s="285"/>
      <c r="K163" s="1084"/>
      <c r="L163" s="1560"/>
      <c r="M163" s="1560"/>
      <c r="N163" s="1084"/>
      <c r="O163" s="1084"/>
      <c r="P163" s="1084"/>
      <c r="Q163" s="1084"/>
      <c r="R163" s="1560"/>
      <c r="S163" s="1084"/>
      <c r="T163" s="1084"/>
      <c r="U163" s="478"/>
      <c r="V163" s="1084"/>
      <c r="W163" s="1084"/>
      <c r="X163" s="1084"/>
      <c r="Y163" s="1084"/>
      <c r="Z163" s="1084"/>
      <c r="AA163" s="1556"/>
      <c r="AB163" s="500"/>
      <c r="AC163" s="500"/>
      <c r="AD163" s="500"/>
      <c r="AE163" s="500"/>
      <c r="AF163" s="1565">
        <v>11</v>
      </c>
    </row>
    <row r="164" spans="1:32" s="1565" customFormat="1" ht="11.45" customHeight="1">
      <c r="A164" s="914"/>
      <c r="B164" s="1560"/>
      <c r="C164" s="1560"/>
      <c r="D164" s="285"/>
      <c r="K164" s="1084"/>
      <c r="L164" s="1560"/>
      <c r="M164" s="1560"/>
      <c r="N164" s="1084"/>
      <c r="O164" s="1084"/>
      <c r="P164" s="1084"/>
      <c r="Q164" s="1084"/>
      <c r="R164" s="1560"/>
      <c r="S164" s="1084"/>
      <c r="T164" s="1084"/>
      <c r="U164" s="478"/>
      <c r="V164" s="1084"/>
      <c r="W164" s="1084"/>
      <c r="X164" s="1084"/>
      <c r="Y164" s="1084"/>
      <c r="Z164" s="1084"/>
      <c r="AA164" s="1556"/>
      <c r="AB164" s="500"/>
      <c r="AC164" s="500"/>
      <c r="AD164" s="500"/>
      <c r="AE164" s="500"/>
      <c r="AF164" s="1565">
        <v>11</v>
      </c>
    </row>
    <row r="165" spans="1:32" s="1565" customFormat="1" ht="11.45" customHeight="1">
      <c r="A165" s="914"/>
      <c r="B165" s="1560"/>
      <c r="C165" s="1560"/>
      <c r="D165" s="285"/>
      <c r="K165" s="1084"/>
      <c r="L165" s="1560"/>
      <c r="M165" s="1560"/>
      <c r="N165" s="1084"/>
      <c r="O165" s="1084"/>
      <c r="P165" s="1084"/>
      <c r="Q165" s="1084"/>
      <c r="R165" s="1560"/>
      <c r="S165" s="1084"/>
      <c r="T165" s="1084"/>
      <c r="U165" s="478"/>
      <c r="V165" s="1084"/>
      <c r="W165" s="1084"/>
      <c r="X165" s="1084"/>
      <c r="Y165" s="1084"/>
      <c r="Z165" s="1084"/>
      <c r="AA165" s="1556"/>
      <c r="AB165" s="500"/>
      <c r="AC165" s="500"/>
      <c r="AD165" s="500"/>
      <c r="AE165" s="500"/>
      <c r="AF165" s="1565">
        <v>11</v>
      </c>
    </row>
    <row r="166" spans="1:32" s="1565" customFormat="1" ht="11.45" customHeight="1">
      <c r="A166" s="914"/>
      <c r="B166" s="1560"/>
      <c r="C166" s="1560"/>
      <c r="D166" s="285"/>
      <c r="K166" s="1084"/>
      <c r="L166" s="1560"/>
      <c r="M166" s="1560"/>
      <c r="N166" s="1084"/>
      <c r="O166" s="1084"/>
      <c r="P166" s="1084"/>
      <c r="Q166" s="1084"/>
      <c r="R166" s="1560"/>
      <c r="S166" s="1084"/>
      <c r="T166" s="1084"/>
      <c r="U166" s="478"/>
      <c r="V166" s="1084"/>
      <c r="W166" s="1084"/>
      <c r="X166" s="1084"/>
      <c r="Y166" s="1084"/>
      <c r="Z166" s="1084"/>
      <c r="AA166" s="1556"/>
      <c r="AB166" s="500"/>
      <c r="AC166" s="500"/>
      <c r="AD166" s="500"/>
      <c r="AE166" s="500"/>
      <c r="AF166" s="1565">
        <v>11</v>
      </c>
    </row>
    <row r="167" spans="1:32" s="1565" customFormat="1" ht="11.45" customHeight="1">
      <c r="A167" s="914"/>
      <c r="B167" s="1560"/>
      <c r="C167" s="1560"/>
      <c r="D167" s="285"/>
      <c r="K167" s="1084"/>
      <c r="L167" s="1560"/>
      <c r="M167" s="1560"/>
      <c r="N167" s="1084"/>
      <c r="O167" s="1084"/>
      <c r="P167" s="1084"/>
      <c r="Q167" s="1084"/>
      <c r="R167" s="1560"/>
      <c r="S167" s="1084"/>
      <c r="T167" s="1084"/>
      <c r="U167" s="478"/>
      <c r="V167" s="1084"/>
      <c r="W167" s="1084"/>
      <c r="X167" s="1084"/>
      <c r="Y167" s="1084"/>
      <c r="Z167" s="1084"/>
      <c r="AA167" s="1556"/>
      <c r="AB167" s="500"/>
      <c r="AC167" s="500"/>
      <c r="AD167" s="500"/>
      <c r="AE167" s="500"/>
      <c r="AF167" s="1565">
        <v>11</v>
      </c>
    </row>
    <row r="168" spans="1:32" s="1565" customFormat="1" ht="11.45" customHeight="1">
      <c r="A168" s="914"/>
      <c r="B168" s="1560"/>
      <c r="C168" s="1560"/>
      <c r="D168" s="285"/>
      <c r="K168" s="1084"/>
      <c r="L168" s="1560"/>
      <c r="M168" s="1560"/>
      <c r="N168" s="1084"/>
      <c r="O168" s="1084"/>
      <c r="P168" s="1084"/>
      <c r="Q168" s="1084"/>
      <c r="R168" s="1560"/>
      <c r="S168" s="1084"/>
      <c r="T168" s="1084"/>
      <c r="U168" s="478"/>
      <c r="V168" s="1084"/>
      <c r="W168" s="1084"/>
      <c r="X168" s="1084"/>
      <c r="Y168" s="1084"/>
      <c r="Z168" s="1084"/>
      <c r="AA168" s="1556"/>
      <c r="AB168" s="500"/>
      <c r="AC168" s="500"/>
      <c r="AD168" s="500"/>
      <c r="AE168" s="500"/>
      <c r="AF168" s="1565">
        <v>11</v>
      </c>
    </row>
    <row r="169" spans="1:32" s="1565" customFormat="1" ht="11.45" customHeight="1">
      <c r="A169" s="914"/>
      <c r="B169" s="1560"/>
      <c r="C169" s="1560"/>
      <c r="D169" s="285"/>
      <c r="K169" s="1084"/>
      <c r="L169" s="1560"/>
      <c r="M169" s="1560"/>
      <c r="N169" s="1084"/>
      <c r="O169" s="1084"/>
      <c r="P169" s="1084"/>
      <c r="Q169" s="1084"/>
      <c r="R169" s="1560"/>
      <c r="S169" s="1084"/>
      <c r="T169" s="1084"/>
      <c r="U169" s="478"/>
      <c r="V169" s="1084"/>
      <c r="W169" s="1084"/>
      <c r="X169" s="1084"/>
      <c r="Y169" s="1084"/>
      <c r="Z169" s="1084"/>
      <c r="AA169" s="1556"/>
      <c r="AB169" s="500"/>
      <c r="AC169" s="500"/>
      <c r="AD169" s="500"/>
      <c r="AE169" s="500"/>
      <c r="AF169" s="1565">
        <v>11</v>
      </c>
    </row>
    <row r="170" spans="1:32" s="1565" customFormat="1" ht="11.45" customHeight="1">
      <c r="A170" s="914"/>
      <c r="B170" s="1560"/>
      <c r="C170" s="1560"/>
      <c r="D170" s="285"/>
      <c r="K170" s="1084"/>
      <c r="L170" s="1560"/>
      <c r="M170" s="1560"/>
      <c r="N170" s="1084"/>
      <c r="O170" s="1084"/>
      <c r="P170" s="1084"/>
      <c r="Q170" s="1084"/>
      <c r="R170" s="1560"/>
      <c r="S170" s="1084"/>
      <c r="T170" s="1084"/>
      <c r="U170" s="478"/>
      <c r="V170" s="1084"/>
      <c r="W170" s="1084"/>
      <c r="X170" s="1084"/>
      <c r="Y170" s="1084"/>
      <c r="Z170" s="1084"/>
      <c r="AA170" s="1556"/>
      <c r="AB170" s="500"/>
      <c r="AC170" s="500"/>
      <c r="AD170" s="500"/>
      <c r="AE170" s="500"/>
      <c r="AF170" s="1565">
        <v>11</v>
      </c>
    </row>
    <row r="171" spans="1:32" s="1565" customFormat="1" ht="11.45" customHeight="1">
      <c r="A171" s="914"/>
      <c r="B171" s="1560"/>
      <c r="C171" s="1560"/>
      <c r="D171" s="285"/>
      <c r="K171" s="1084"/>
      <c r="L171" s="1560"/>
      <c r="M171" s="1560"/>
      <c r="N171" s="1084"/>
      <c r="O171" s="1084"/>
      <c r="P171" s="1084"/>
      <c r="Q171" s="1084"/>
      <c r="R171" s="1560"/>
      <c r="S171" s="1084"/>
      <c r="T171" s="1084"/>
      <c r="U171" s="478"/>
      <c r="V171" s="1084"/>
      <c r="W171" s="1084"/>
      <c r="X171" s="1084"/>
      <c r="Y171" s="1084"/>
      <c r="Z171" s="1084"/>
      <c r="AA171" s="1556"/>
      <c r="AB171" s="500"/>
      <c r="AC171" s="500"/>
      <c r="AD171" s="500"/>
      <c r="AE171" s="500"/>
      <c r="AF171" s="1565">
        <v>11</v>
      </c>
    </row>
    <row r="172" spans="1:32" s="1565" customFormat="1" ht="11.45" customHeight="1">
      <c r="A172" s="914"/>
      <c r="B172" s="1560"/>
      <c r="C172" s="1560"/>
      <c r="D172" s="285"/>
      <c r="K172" s="1084"/>
      <c r="L172" s="1560"/>
      <c r="M172" s="1560"/>
      <c r="N172" s="1084"/>
      <c r="O172" s="1084"/>
      <c r="P172" s="1084"/>
      <c r="Q172" s="1084"/>
      <c r="R172" s="1560"/>
      <c r="S172" s="1084"/>
      <c r="T172" s="1084"/>
      <c r="U172" s="478"/>
      <c r="V172" s="1084"/>
      <c r="W172" s="1084"/>
      <c r="X172" s="1084"/>
      <c r="Y172" s="1084"/>
      <c r="Z172" s="1084"/>
      <c r="AA172" s="1556"/>
      <c r="AB172" s="500"/>
      <c r="AC172" s="500"/>
      <c r="AD172" s="500"/>
      <c r="AE172" s="500"/>
      <c r="AF172" s="1565">
        <v>11</v>
      </c>
    </row>
    <row r="173" spans="1:32" s="1565" customFormat="1" ht="11.45" customHeight="1">
      <c r="A173" s="914"/>
      <c r="B173" s="1560"/>
      <c r="C173" s="1560"/>
      <c r="D173" s="285"/>
      <c r="K173" s="1084"/>
      <c r="L173" s="1560"/>
      <c r="M173" s="1560"/>
      <c r="N173" s="1084"/>
      <c r="O173" s="1084"/>
      <c r="P173" s="1084"/>
      <c r="Q173" s="1084"/>
      <c r="R173" s="1560"/>
      <c r="S173" s="1084"/>
      <c r="T173" s="1084"/>
      <c r="U173" s="478"/>
      <c r="V173" s="1084"/>
      <c r="W173" s="1084"/>
      <c r="X173" s="1084"/>
      <c r="Y173" s="1084"/>
      <c r="Z173" s="1084"/>
      <c r="AA173" s="1556"/>
      <c r="AB173" s="500"/>
      <c r="AC173" s="500"/>
      <c r="AD173" s="500"/>
      <c r="AE173" s="500"/>
      <c r="AF173" s="1565">
        <v>11</v>
      </c>
    </row>
    <row r="174" spans="1:32" s="1565" customFormat="1" ht="11.45" customHeight="1">
      <c r="A174" s="914"/>
      <c r="B174" s="1560"/>
      <c r="C174" s="1560"/>
      <c r="D174" s="285"/>
      <c r="K174" s="1084"/>
      <c r="L174" s="1560"/>
      <c r="M174" s="1560"/>
      <c r="N174" s="1084"/>
      <c r="O174" s="1084"/>
      <c r="P174" s="1084"/>
      <c r="Q174" s="1084"/>
      <c r="R174" s="1560"/>
      <c r="S174" s="1084"/>
      <c r="T174" s="1084"/>
      <c r="U174" s="478"/>
      <c r="V174" s="1084"/>
      <c r="W174" s="1084"/>
      <c r="X174" s="1084"/>
      <c r="Y174" s="1084"/>
      <c r="Z174" s="1084"/>
      <c r="AA174" s="1556"/>
      <c r="AB174" s="500"/>
      <c r="AC174" s="500"/>
      <c r="AD174" s="500"/>
      <c r="AE174" s="500"/>
      <c r="AF174" s="1565">
        <v>11</v>
      </c>
    </row>
    <row r="175" spans="1:32" s="1565" customFormat="1" ht="11.45" customHeight="1">
      <c r="A175" s="914"/>
      <c r="B175" s="1560"/>
      <c r="C175" s="1560"/>
      <c r="D175" s="285"/>
      <c r="K175" s="1084"/>
      <c r="L175" s="1560"/>
      <c r="M175" s="1560"/>
      <c r="N175" s="1084"/>
      <c r="O175" s="1084"/>
      <c r="P175" s="1084"/>
      <c r="Q175" s="1084"/>
      <c r="R175" s="1560"/>
      <c r="S175" s="1084"/>
      <c r="T175" s="1084"/>
      <c r="U175" s="478"/>
      <c r="V175" s="1084"/>
      <c r="W175" s="1084"/>
      <c r="X175" s="1084"/>
      <c r="Y175" s="1084"/>
      <c r="Z175" s="1084"/>
      <c r="AA175" s="1556"/>
      <c r="AB175" s="500"/>
      <c r="AC175" s="500"/>
      <c r="AD175" s="500"/>
      <c r="AE175" s="500"/>
      <c r="AF175" s="1565">
        <v>11</v>
      </c>
    </row>
    <row r="176" spans="1:32" s="1565" customFormat="1" ht="11.45" customHeight="1">
      <c r="A176" s="914"/>
      <c r="B176" s="1560"/>
      <c r="C176" s="1560"/>
      <c r="D176" s="285"/>
      <c r="K176" s="1084"/>
      <c r="L176" s="1560"/>
      <c r="M176" s="1560"/>
      <c r="N176" s="1084"/>
      <c r="O176" s="1084"/>
      <c r="P176" s="1084"/>
      <c r="Q176" s="1084"/>
      <c r="R176" s="1560"/>
      <c r="S176" s="1084"/>
      <c r="T176" s="1084"/>
      <c r="U176" s="478"/>
      <c r="V176" s="1084"/>
      <c r="W176" s="1084"/>
      <c r="X176" s="1084"/>
      <c r="Y176" s="1084"/>
      <c r="Z176" s="1084"/>
      <c r="AA176" s="1556"/>
      <c r="AB176" s="500"/>
      <c r="AC176" s="500"/>
      <c r="AD176" s="500"/>
      <c r="AE176" s="500"/>
      <c r="AF176" s="1565">
        <v>11</v>
      </c>
    </row>
    <row r="177" spans="1:32" s="1565" customFormat="1" ht="11.45" customHeight="1">
      <c r="A177" s="914"/>
      <c r="B177" s="1560"/>
      <c r="C177" s="1560"/>
      <c r="D177" s="285"/>
      <c r="K177" s="1084"/>
      <c r="L177" s="1560"/>
      <c r="M177" s="1560"/>
      <c r="N177" s="1084"/>
      <c r="O177" s="1084"/>
      <c r="P177" s="1084"/>
      <c r="Q177" s="1084"/>
      <c r="R177" s="1560"/>
      <c r="S177" s="1084"/>
      <c r="T177" s="1084"/>
      <c r="U177" s="478"/>
      <c r="V177" s="1084"/>
      <c r="W177" s="1084"/>
      <c r="X177" s="1084"/>
      <c r="Y177" s="1084"/>
      <c r="Z177" s="1084"/>
      <c r="AA177" s="1556"/>
      <c r="AB177" s="500"/>
      <c r="AC177" s="500"/>
      <c r="AD177" s="500"/>
      <c r="AE177" s="500"/>
      <c r="AF177" s="1565">
        <v>11</v>
      </c>
    </row>
    <row r="178" spans="1:32" s="1565" customFormat="1" ht="11.45" customHeight="1">
      <c r="A178" s="914"/>
      <c r="B178" s="1560"/>
      <c r="C178" s="1560"/>
      <c r="D178" s="285"/>
      <c r="K178" s="1084"/>
      <c r="L178" s="1560"/>
      <c r="M178" s="1560"/>
      <c r="N178" s="1084"/>
      <c r="O178" s="1084"/>
      <c r="P178" s="1084"/>
      <c r="Q178" s="1084"/>
      <c r="R178" s="1560"/>
      <c r="S178" s="1084"/>
      <c r="T178" s="1084"/>
      <c r="U178" s="478"/>
      <c r="V178" s="1084"/>
      <c r="W178" s="1084"/>
      <c r="X178" s="1084"/>
      <c r="Y178" s="1084"/>
      <c r="Z178" s="1084"/>
      <c r="AA178" s="1556"/>
      <c r="AB178" s="500"/>
      <c r="AC178" s="500"/>
      <c r="AD178" s="500"/>
      <c r="AE178" s="500"/>
      <c r="AF178" s="1565">
        <v>11</v>
      </c>
    </row>
    <row r="179" spans="1:32" s="1565" customFormat="1" ht="11.45" customHeight="1">
      <c r="A179" s="914"/>
      <c r="B179" s="1560"/>
      <c r="C179" s="1560"/>
      <c r="D179" s="285"/>
      <c r="K179" s="1084"/>
      <c r="L179" s="1560"/>
      <c r="M179" s="1560"/>
      <c r="N179" s="1084"/>
      <c r="O179" s="1084"/>
      <c r="P179" s="1084"/>
      <c r="Q179" s="1084"/>
      <c r="R179" s="1560"/>
      <c r="S179" s="1084"/>
      <c r="T179" s="1084"/>
      <c r="U179" s="478"/>
      <c r="V179" s="1084"/>
      <c r="W179" s="1084"/>
      <c r="X179" s="1084"/>
      <c r="Y179" s="1084"/>
      <c r="Z179" s="1084"/>
      <c r="AA179" s="1556"/>
      <c r="AB179" s="500"/>
      <c r="AC179" s="500"/>
      <c r="AD179" s="500"/>
      <c r="AE179" s="500"/>
      <c r="AF179" s="1565">
        <v>11</v>
      </c>
    </row>
    <row r="180" spans="1:32" s="1565" customFormat="1" ht="11.45" customHeight="1">
      <c r="A180" s="914"/>
      <c r="B180" s="1560"/>
      <c r="C180" s="1560"/>
      <c r="D180" s="285"/>
      <c r="K180" s="1084"/>
      <c r="L180" s="1560"/>
      <c r="M180" s="1560"/>
      <c r="N180" s="1084"/>
      <c r="O180" s="1084"/>
      <c r="P180" s="1084"/>
      <c r="Q180" s="1084"/>
      <c r="R180" s="1560"/>
      <c r="S180" s="1084"/>
      <c r="T180" s="1084"/>
      <c r="U180" s="478"/>
      <c r="V180" s="1084"/>
      <c r="W180" s="1084"/>
      <c r="X180" s="1084"/>
      <c r="Y180" s="1084"/>
      <c r="Z180" s="1084"/>
      <c r="AA180" s="1556"/>
      <c r="AB180" s="500"/>
      <c r="AC180" s="500"/>
      <c r="AD180" s="500"/>
      <c r="AE180" s="500"/>
      <c r="AF180" s="1565">
        <v>11</v>
      </c>
    </row>
    <row r="181" spans="1:32" s="1565" customFormat="1" ht="11.45" customHeight="1">
      <c r="A181" s="914"/>
      <c r="B181" s="1560"/>
      <c r="C181" s="1560"/>
      <c r="D181" s="285"/>
      <c r="K181" s="1084"/>
      <c r="L181" s="1560"/>
      <c r="M181" s="1560"/>
      <c r="N181" s="1084"/>
      <c r="O181" s="1084"/>
      <c r="P181" s="1084"/>
      <c r="Q181" s="1084"/>
      <c r="R181" s="1560"/>
      <c r="S181" s="1084"/>
      <c r="T181" s="1084"/>
      <c r="U181" s="478"/>
      <c r="V181" s="1084"/>
      <c r="W181" s="1084"/>
      <c r="X181" s="1084"/>
      <c r="Y181" s="1084"/>
      <c r="Z181" s="1084"/>
      <c r="AA181" s="1556"/>
      <c r="AB181" s="500"/>
      <c r="AC181" s="500"/>
      <c r="AD181" s="500"/>
      <c r="AE181" s="500"/>
      <c r="AF181" s="1565">
        <v>11</v>
      </c>
    </row>
    <row r="182" spans="1:32" s="1565" customFormat="1" ht="11.45" customHeight="1">
      <c r="A182" s="914"/>
      <c r="B182" s="1560"/>
      <c r="C182" s="1560"/>
      <c r="D182" s="285"/>
      <c r="K182" s="1084"/>
      <c r="L182" s="1560"/>
      <c r="M182" s="1560"/>
      <c r="N182" s="1084"/>
      <c r="O182" s="1084"/>
      <c r="P182" s="1084"/>
      <c r="Q182" s="1084"/>
      <c r="R182" s="1560"/>
      <c r="S182" s="1084"/>
      <c r="T182" s="1084"/>
      <c r="U182" s="478"/>
      <c r="V182" s="1084"/>
      <c r="W182" s="1084"/>
      <c r="X182" s="1084"/>
      <c r="Y182" s="1084"/>
      <c r="Z182" s="1084"/>
      <c r="AA182" s="1556"/>
      <c r="AB182" s="500"/>
      <c r="AC182" s="500"/>
      <c r="AD182" s="500"/>
      <c r="AE182" s="500"/>
      <c r="AF182" s="1565">
        <v>11</v>
      </c>
    </row>
    <row r="183" spans="1:32" s="1565" customFormat="1" ht="11.45" customHeight="1">
      <c r="A183" s="914"/>
      <c r="B183" s="1560"/>
      <c r="C183" s="1560"/>
      <c r="D183" s="285"/>
      <c r="K183" s="1084"/>
      <c r="L183" s="1560"/>
      <c r="M183" s="1560"/>
      <c r="N183" s="1084"/>
      <c r="O183" s="1084"/>
      <c r="P183" s="1084"/>
      <c r="Q183" s="1084"/>
      <c r="R183" s="1560"/>
      <c r="S183" s="1084"/>
      <c r="T183" s="1084"/>
      <c r="U183" s="478"/>
      <c r="V183" s="1084"/>
      <c r="W183" s="1084"/>
      <c r="X183" s="1084"/>
      <c r="Y183" s="1084"/>
      <c r="Z183" s="1084"/>
      <c r="AA183" s="1556"/>
      <c r="AB183" s="500"/>
      <c r="AC183" s="500"/>
      <c r="AD183" s="500"/>
      <c r="AE183" s="500"/>
      <c r="AF183" s="1565">
        <v>11</v>
      </c>
    </row>
    <row r="184" spans="1:32" s="1565" customFormat="1" ht="11.45" customHeight="1">
      <c r="A184" s="914"/>
      <c r="B184" s="1560"/>
      <c r="C184" s="1560"/>
      <c r="D184" s="285"/>
      <c r="K184" s="1084"/>
      <c r="L184" s="1560"/>
      <c r="M184" s="1560"/>
      <c r="N184" s="1084"/>
      <c r="O184" s="1084"/>
      <c r="P184" s="1084"/>
      <c r="Q184" s="1084"/>
      <c r="R184" s="1560"/>
      <c r="S184" s="1084"/>
      <c r="T184" s="1084"/>
      <c r="U184" s="478"/>
      <c r="V184" s="1084"/>
      <c r="W184" s="1084"/>
      <c r="X184" s="1084"/>
      <c r="Y184" s="1084"/>
      <c r="Z184" s="1084"/>
      <c r="AA184" s="1556"/>
      <c r="AB184" s="500"/>
      <c r="AC184" s="500"/>
      <c r="AD184" s="500"/>
      <c r="AE184" s="500"/>
      <c r="AF184" s="1565">
        <v>11</v>
      </c>
    </row>
    <row r="185" spans="1:32" s="1565" customFormat="1" ht="11.45" customHeight="1">
      <c r="A185" s="914"/>
      <c r="B185" s="1560"/>
      <c r="C185" s="1560"/>
      <c r="D185" s="285"/>
      <c r="K185" s="1084"/>
      <c r="L185" s="1560"/>
      <c r="M185" s="1560"/>
      <c r="N185" s="1084"/>
      <c r="O185" s="1084"/>
      <c r="P185" s="1084"/>
      <c r="Q185" s="1084"/>
      <c r="R185" s="1560"/>
      <c r="S185" s="1084"/>
      <c r="T185" s="1084"/>
      <c r="U185" s="478"/>
      <c r="V185" s="1084"/>
      <c r="W185" s="1084"/>
      <c r="X185" s="1084"/>
      <c r="Y185" s="1084"/>
      <c r="Z185" s="1084"/>
      <c r="AA185" s="1556"/>
      <c r="AB185" s="500"/>
      <c r="AC185" s="500"/>
      <c r="AD185" s="500"/>
      <c r="AE185" s="500"/>
      <c r="AF185" s="1565">
        <v>11</v>
      </c>
    </row>
    <row r="186" spans="1:32" s="1565" customFormat="1" ht="11.45" customHeight="1">
      <c r="A186" s="914"/>
      <c r="B186" s="1560"/>
      <c r="C186" s="1560"/>
      <c r="D186" s="285"/>
      <c r="K186" s="1084"/>
      <c r="L186" s="1560"/>
      <c r="M186" s="1560"/>
      <c r="N186" s="1084"/>
      <c r="O186" s="1084"/>
      <c r="P186" s="1084"/>
      <c r="Q186" s="1084"/>
      <c r="R186" s="1560"/>
      <c r="S186" s="1084"/>
      <c r="T186" s="1084"/>
      <c r="U186" s="478"/>
      <c r="V186" s="1084"/>
      <c r="W186" s="1084"/>
      <c r="X186" s="1084"/>
      <c r="Y186" s="1084"/>
      <c r="Z186" s="1084"/>
      <c r="AA186" s="1556"/>
      <c r="AB186" s="500"/>
      <c r="AC186" s="500"/>
      <c r="AD186" s="500"/>
      <c r="AE186" s="500"/>
      <c r="AF186" s="1565">
        <v>11</v>
      </c>
    </row>
    <row r="187" spans="1:32" s="1565" customFormat="1" ht="11.45" customHeight="1">
      <c r="A187" s="914"/>
      <c r="B187" s="1560"/>
      <c r="C187" s="1560"/>
      <c r="D187" s="285"/>
      <c r="K187" s="1084"/>
      <c r="L187" s="1560"/>
      <c r="M187" s="1560"/>
      <c r="N187" s="1084"/>
      <c r="O187" s="1084"/>
      <c r="P187" s="1084"/>
      <c r="Q187" s="1084"/>
      <c r="R187" s="1560"/>
      <c r="S187" s="1084"/>
      <c r="T187" s="1084"/>
      <c r="U187" s="478"/>
      <c r="V187" s="1084"/>
      <c r="W187" s="1084"/>
      <c r="X187" s="1084"/>
      <c r="Y187" s="1084"/>
      <c r="Z187" s="1084"/>
      <c r="AA187" s="1556"/>
      <c r="AB187" s="500"/>
      <c r="AC187" s="500"/>
      <c r="AD187" s="500"/>
      <c r="AE187" s="500"/>
      <c r="AF187" s="1565">
        <v>11</v>
      </c>
    </row>
    <row r="188" spans="1:32" s="1565" customFormat="1" ht="11.45" customHeight="1">
      <c r="A188" s="914"/>
      <c r="B188" s="1560"/>
      <c r="C188" s="1560"/>
      <c r="D188" s="285"/>
      <c r="K188" s="1084"/>
      <c r="L188" s="1560"/>
      <c r="M188" s="1560"/>
      <c r="N188" s="1084"/>
      <c r="O188" s="1084"/>
      <c r="P188" s="1084"/>
      <c r="Q188" s="1084"/>
      <c r="R188" s="1560"/>
      <c r="S188" s="1084"/>
      <c r="T188" s="1084"/>
      <c r="U188" s="478"/>
      <c r="V188" s="1084"/>
      <c r="W188" s="1084"/>
      <c r="X188" s="1084"/>
      <c r="Y188" s="1084"/>
      <c r="Z188" s="1084"/>
      <c r="AA188" s="1556"/>
      <c r="AB188" s="500"/>
      <c r="AC188" s="500"/>
      <c r="AD188" s="500"/>
      <c r="AE188" s="500"/>
      <c r="AF188" s="1565">
        <v>11</v>
      </c>
    </row>
    <row r="189" spans="1:32" s="1565" customFormat="1" ht="11.45" customHeight="1">
      <c r="A189" s="914"/>
      <c r="B189" s="1560"/>
      <c r="C189" s="1560"/>
      <c r="D189" s="285"/>
      <c r="K189" s="1084"/>
      <c r="L189" s="1560"/>
      <c r="M189" s="1560"/>
      <c r="N189" s="1084"/>
      <c r="O189" s="1084"/>
      <c r="P189" s="1084"/>
      <c r="Q189" s="1084"/>
      <c r="R189" s="1560"/>
      <c r="S189" s="1084"/>
      <c r="T189" s="1084"/>
      <c r="U189" s="478"/>
      <c r="V189" s="1084"/>
      <c r="W189" s="1084"/>
      <c r="X189" s="1084"/>
      <c r="Y189" s="1084"/>
      <c r="Z189" s="1084"/>
      <c r="AA189" s="1556"/>
      <c r="AB189" s="500"/>
      <c r="AC189" s="500"/>
      <c r="AD189" s="500"/>
      <c r="AE189" s="500"/>
      <c r="AF189" s="1565">
        <v>11</v>
      </c>
    </row>
    <row r="190" spans="1:32" s="1565" customFormat="1" ht="11.45" customHeight="1">
      <c r="A190" s="914"/>
      <c r="B190" s="1560"/>
      <c r="C190" s="1560"/>
      <c r="D190" s="285"/>
      <c r="K190" s="1084"/>
      <c r="L190" s="1560"/>
      <c r="M190" s="1560"/>
      <c r="N190" s="1084"/>
      <c r="O190" s="1084"/>
      <c r="P190" s="1084"/>
      <c r="Q190" s="1084"/>
      <c r="R190" s="1560"/>
      <c r="S190" s="1084"/>
      <c r="T190" s="1084"/>
      <c r="U190" s="478"/>
      <c r="V190" s="1084"/>
      <c r="W190" s="1084"/>
      <c r="X190" s="1084"/>
      <c r="Y190" s="1084"/>
      <c r="Z190" s="1084"/>
      <c r="AA190" s="1556"/>
      <c r="AB190" s="500"/>
      <c r="AC190" s="500"/>
      <c r="AD190" s="500"/>
      <c r="AE190" s="500"/>
      <c r="AF190" s="1565">
        <v>11</v>
      </c>
    </row>
    <row r="191" spans="1:32" s="1565" customFormat="1" ht="11.45" customHeight="1">
      <c r="A191" s="914"/>
      <c r="B191" s="1560"/>
      <c r="C191" s="1560"/>
      <c r="D191" s="285"/>
      <c r="K191" s="1084"/>
      <c r="L191" s="1560"/>
      <c r="M191" s="1560"/>
      <c r="N191" s="1084"/>
      <c r="O191" s="1084"/>
      <c r="P191" s="1084"/>
      <c r="Q191" s="1084"/>
      <c r="R191" s="1560"/>
      <c r="S191" s="1084"/>
      <c r="T191" s="1084"/>
      <c r="U191" s="478"/>
      <c r="V191" s="1084"/>
      <c r="W191" s="1084"/>
      <c r="X191" s="1084"/>
      <c r="Y191" s="1084"/>
      <c r="Z191" s="1084"/>
      <c r="AA191" s="1556"/>
      <c r="AB191" s="500"/>
      <c r="AC191" s="500"/>
      <c r="AD191" s="500"/>
      <c r="AE191" s="500"/>
      <c r="AF191" s="1565">
        <v>11</v>
      </c>
    </row>
    <row r="192" spans="1:32" s="1565" customFormat="1" ht="11.45" customHeight="1">
      <c r="A192" s="914"/>
      <c r="B192" s="1560"/>
      <c r="C192" s="1560"/>
      <c r="D192" s="285"/>
      <c r="K192" s="1084"/>
      <c r="L192" s="1560"/>
      <c r="M192" s="1560"/>
      <c r="N192" s="1084"/>
      <c r="O192" s="1084"/>
      <c r="P192" s="1084"/>
      <c r="Q192" s="1084"/>
      <c r="R192" s="1560"/>
      <c r="S192" s="1084"/>
      <c r="T192" s="1084"/>
      <c r="U192" s="478"/>
      <c r="V192" s="1084"/>
      <c r="W192" s="1084"/>
      <c r="X192" s="1084"/>
      <c r="Y192" s="1084"/>
      <c r="Z192" s="1084"/>
      <c r="AA192" s="1556"/>
      <c r="AB192" s="500"/>
      <c r="AC192" s="500"/>
      <c r="AD192" s="500"/>
      <c r="AE192" s="500"/>
      <c r="AF192" s="1565">
        <v>11</v>
      </c>
    </row>
    <row r="193" spans="1:32" s="1565" customFormat="1" ht="11.45" customHeight="1">
      <c r="A193" s="914"/>
      <c r="B193" s="1560"/>
      <c r="C193" s="1560"/>
      <c r="D193" s="285"/>
      <c r="K193" s="1084"/>
      <c r="L193" s="1560"/>
      <c r="M193" s="1560"/>
      <c r="N193" s="1084"/>
      <c r="O193" s="1084"/>
      <c r="P193" s="1084"/>
      <c r="Q193" s="1084"/>
      <c r="R193" s="1560"/>
      <c r="S193" s="1084"/>
      <c r="T193" s="1084"/>
      <c r="U193" s="478"/>
      <c r="V193" s="1084"/>
      <c r="W193" s="1084"/>
      <c r="X193" s="1084"/>
      <c r="Y193" s="1084"/>
      <c r="Z193" s="1084"/>
      <c r="AA193" s="1556"/>
      <c r="AB193" s="500"/>
      <c r="AC193" s="500"/>
      <c r="AD193" s="500"/>
      <c r="AE193" s="500"/>
      <c r="AF193" s="1565">
        <v>11</v>
      </c>
    </row>
    <row r="194" spans="1:32" s="1565" customFormat="1" ht="11.45" customHeight="1">
      <c r="A194" s="914"/>
      <c r="B194" s="1560"/>
      <c r="C194" s="1560"/>
      <c r="D194" s="285"/>
      <c r="K194" s="1084"/>
      <c r="L194" s="1560"/>
      <c r="M194" s="1560"/>
      <c r="N194" s="1084"/>
      <c r="O194" s="1084"/>
      <c r="P194" s="1084"/>
      <c r="Q194" s="1084"/>
      <c r="R194" s="1560"/>
      <c r="S194" s="1084"/>
      <c r="T194" s="1084"/>
      <c r="U194" s="478"/>
      <c r="V194" s="1084"/>
      <c r="W194" s="1084"/>
      <c r="X194" s="1084"/>
      <c r="Y194" s="1084"/>
      <c r="Z194" s="1084"/>
      <c r="AA194" s="1556"/>
      <c r="AB194" s="500"/>
      <c r="AC194" s="500"/>
      <c r="AD194" s="500"/>
      <c r="AE194" s="500"/>
      <c r="AF194" s="1565">
        <v>11</v>
      </c>
    </row>
    <row r="195" spans="1:32" s="1565" customFormat="1" ht="11.45" customHeight="1">
      <c r="A195" s="914"/>
      <c r="B195" s="1560"/>
      <c r="C195" s="1560"/>
      <c r="D195" s="285"/>
      <c r="K195" s="1084"/>
      <c r="L195" s="1560"/>
      <c r="M195" s="1560"/>
      <c r="N195" s="1084"/>
      <c r="O195" s="1084"/>
      <c r="P195" s="1084"/>
      <c r="Q195" s="1084"/>
      <c r="R195" s="1560"/>
      <c r="S195" s="1084"/>
      <c r="T195" s="1084"/>
      <c r="U195" s="478"/>
      <c r="V195" s="1084"/>
      <c r="W195" s="1084"/>
      <c r="X195" s="1084"/>
      <c r="Y195" s="1084"/>
      <c r="Z195" s="1084"/>
      <c r="AA195" s="1556"/>
      <c r="AB195" s="500"/>
      <c r="AC195" s="500"/>
      <c r="AD195" s="500"/>
      <c r="AE195" s="500"/>
      <c r="AF195" s="1565">
        <v>11</v>
      </c>
    </row>
    <row r="196" spans="1:32" ht="11.45" customHeight="1">
      <c r="AF196" s="1555">
        <v>11</v>
      </c>
    </row>
    <row r="197" spans="1:32" ht="11.45" customHeight="1">
      <c r="AF197" s="1555">
        <v>11</v>
      </c>
    </row>
    <row r="198" spans="1:32" ht="11.45" customHeight="1">
      <c r="AF198" s="1555">
        <v>11</v>
      </c>
    </row>
    <row r="199" spans="1:32" ht="11.45" customHeight="1">
      <c r="A199" s="917"/>
      <c r="B199" s="1555"/>
      <c r="D199" s="1555"/>
      <c r="K199" s="1555"/>
      <c r="N199" s="1555"/>
      <c r="O199" s="1555"/>
      <c r="P199" s="1555"/>
      <c r="Q199" s="1555"/>
      <c r="S199" s="1555"/>
      <c r="T199" s="1555"/>
      <c r="U199" s="1555"/>
      <c r="V199" s="1555"/>
      <c r="W199" s="1555"/>
      <c r="X199" s="1555"/>
      <c r="Y199" s="1555"/>
      <c r="Z199" s="1555"/>
      <c r="AA199" s="1555"/>
      <c r="AB199" s="1555"/>
      <c r="AC199" s="1555"/>
      <c r="AD199" s="1555"/>
      <c r="AE199" s="1555"/>
      <c r="AF199" s="1555">
        <v>11</v>
      </c>
    </row>
    <row r="200" spans="1:32" ht="11.45" customHeight="1">
      <c r="A200" s="917"/>
      <c r="B200" s="1555"/>
      <c r="D200" s="1555"/>
      <c r="K200" s="1555"/>
      <c r="N200" s="1555"/>
      <c r="O200" s="1555"/>
      <c r="P200" s="1555"/>
      <c r="Q200" s="1555"/>
      <c r="S200" s="1555"/>
      <c r="T200" s="1555"/>
      <c r="U200" s="1555"/>
      <c r="V200" s="1555"/>
      <c r="W200" s="1555"/>
      <c r="X200" s="1555"/>
      <c r="Y200" s="1555"/>
      <c r="Z200" s="1555"/>
      <c r="AA200" s="1555"/>
      <c r="AB200" s="1555"/>
      <c r="AC200" s="1555"/>
      <c r="AD200" s="1555"/>
      <c r="AE200" s="1555"/>
      <c r="AF200" s="1555">
        <v>11</v>
      </c>
    </row>
    <row r="201" spans="1:32" ht="11.45" customHeight="1">
      <c r="A201" s="917"/>
      <c r="B201" s="1555"/>
      <c r="D201" s="1555"/>
      <c r="K201" s="1555"/>
      <c r="N201" s="1555"/>
      <c r="O201" s="1555"/>
      <c r="P201" s="1555"/>
      <c r="Q201" s="1555"/>
      <c r="S201" s="1555"/>
      <c r="T201" s="1555"/>
      <c r="U201" s="1555"/>
      <c r="V201" s="1555"/>
      <c r="W201" s="1555"/>
      <c r="X201" s="1555"/>
      <c r="Y201" s="1555"/>
      <c r="Z201" s="1555"/>
      <c r="AA201" s="1555"/>
      <c r="AB201" s="1555"/>
      <c r="AC201" s="1555"/>
      <c r="AD201" s="1555"/>
      <c r="AE201" s="1555"/>
      <c r="AF201" s="1555">
        <v>11</v>
      </c>
    </row>
    <row r="202" spans="1:32" ht="11.45" customHeight="1">
      <c r="A202" s="917"/>
      <c r="B202" s="1555"/>
      <c r="D202" s="1555"/>
      <c r="K202" s="1555"/>
      <c r="N202" s="1555"/>
      <c r="O202" s="1555"/>
      <c r="P202" s="1555"/>
      <c r="Q202" s="1555"/>
      <c r="S202" s="1555"/>
      <c r="T202" s="1555"/>
      <c r="U202" s="1555"/>
      <c r="V202" s="1555"/>
      <c r="W202" s="1555"/>
      <c r="X202" s="1555"/>
      <c r="Y202" s="1555"/>
      <c r="Z202" s="1555"/>
      <c r="AA202" s="1555"/>
      <c r="AB202" s="1555"/>
      <c r="AC202" s="1555"/>
      <c r="AD202" s="1555"/>
      <c r="AE202" s="1555"/>
      <c r="AF202" s="1555">
        <v>11</v>
      </c>
    </row>
    <row r="203" spans="1:32" ht="11.45" customHeight="1">
      <c r="A203" s="917"/>
      <c r="B203" s="1555"/>
      <c r="D203" s="1555"/>
      <c r="K203" s="1555"/>
      <c r="N203" s="1555"/>
      <c r="O203" s="1555"/>
      <c r="P203" s="1555"/>
      <c r="Q203" s="1555"/>
      <c r="S203" s="1555"/>
      <c r="T203" s="1555"/>
      <c r="U203" s="1555"/>
      <c r="V203" s="1555"/>
      <c r="W203" s="1555"/>
      <c r="X203" s="1555"/>
      <c r="Y203" s="1555"/>
      <c r="Z203" s="1555"/>
      <c r="AA203" s="1555"/>
      <c r="AB203" s="1555"/>
      <c r="AC203" s="1555"/>
      <c r="AD203" s="1555"/>
      <c r="AE203" s="1555"/>
      <c r="AF203" s="1555">
        <v>11</v>
      </c>
    </row>
    <row r="204" spans="1:32" ht="11.45" customHeight="1">
      <c r="A204" s="917"/>
      <c r="B204" s="1555"/>
      <c r="D204" s="1555"/>
      <c r="K204" s="1555"/>
      <c r="N204" s="1555"/>
      <c r="O204" s="1555"/>
      <c r="P204" s="1555"/>
      <c r="Q204" s="1555"/>
      <c r="S204" s="1555"/>
      <c r="T204" s="1555"/>
      <c r="U204" s="1555"/>
      <c r="V204" s="1555"/>
      <c r="W204" s="1555"/>
      <c r="X204" s="1555"/>
      <c r="Y204" s="1555"/>
      <c r="Z204" s="1555"/>
      <c r="AA204" s="1555"/>
      <c r="AB204" s="1555"/>
      <c r="AC204" s="1555"/>
      <c r="AD204" s="1555"/>
      <c r="AE204" s="1555"/>
      <c r="AF204" s="1555">
        <v>11</v>
      </c>
    </row>
    <row r="205" spans="1:32" ht="11.45" customHeight="1">
      <c r="A205" s="917"/>
      <c r="B205" s="1555"/>
      <c r="D205" s="1555"/>
      <c r="K205" s="1555"/>
      <c r="N205" s="1555"/>
      <c r="O205" s="1555"/>
      <c r="P205" s="1555"/>
      <c r="Q205" s="1555"/>
      <c r="S205" s="1555"/>
      <c r="T205" s="1555"/>
      <c r="U205" s="1555"/>
      <c r="V205" s="1555"/>
      <c r="W205" s="1555"/>
      <c r="X205" s="1555"/>
      <c r="Y205" s="1555"/>
      <c r="Z205" s="1555"/>
      <c r="AA205" s="1555"/>
      <c r="AB205" s="1555"/>
      <c r="AC205" s="1555"/>
      <c r="AD205" s="1555"/>
      <c r="AE205" s="1555"/>
      <c r="AF205" s="1555">
        <v>11</v>
      </c>
    </row>
    <row r="206" spans="1:32" ht="11.45" customHeight="1">
      <c r="A206" s="917"/>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7"/>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7"/>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7"/>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25" hidden="1" customHeight="1">
      <c r="A210" s="914" t="s">
        <v>69</v>
      </c>
      <c r="B210" s="1084">
        <v>0</v>
      </c>
      <c r="C210" s="1560">
        <v>0</v>
      </c>
      <c r="D210" s="1559">
        <v>3</v>
      </c>
      <c r="E210" s="1555">
        <v>7</v>
      </c>
      <c r="F210" s="1555">
        <v>54</v>
      </c>
      <c r="G210" s="1555">
        <v>10</v>
      </c>
      <c r="H210" s="1555">
        <v>0</v>
      </c>
      <c r="I210" s="1555">
        <v>40</v>
      </c>
      <c r="J210" s="1555">
        <v>102</v>
      </c>
      <c r="K210" s="1084">
        <v>9</v>
      </c>
      <c r="L210" s="1560">
        <v>5</v>
      </c>
      <c r="M210" s="1560">
        <v>3</v>
      </c>
      <c r="N210" s="1084">
        <v>3</v>
      </c>
      <c r="O210" s="1084">
        <v>3</v>
      </c>
      <c r="P210" s="1084">
        <v>3</v>
      </c>
      <c r="Q210" s="1084">
        <v>3</v>
      </c>
      <c r="R210" s="1560">
        <v>10</v>
      </c>
      <c r="S210" s="1084">
        <v>34</v>
      </c>
      <c r="T210" s="1084">
        <v>9</v>
      </c>
      <c r="U210" s="478">
        <v>8</v>
      </c>
      <c r="V210" s="1084">
        <v>8</v>
      </c>
      <c r="W210" s="1084">
        <v>8</v>
      </c>
      <c r="X210" s="1084">
        <v>8</v>
      </c>
      <c r="Y210" s="1084">
        <v>8</v>
      </c>
      <c r="Z210" s="1084">
        <v>8</v>
      </c>
      <c r="AA210" s="1556">
        <v>8</v>
      </c>
      <c r="AB210" s="1556">
        <v>8</v>
      </c>
      <c r="AC210" s="1556">
        <v>8</v>
      </c>
      <c r="AD210" s="1556">
        <v>8</v>
      </c>
      <c r="AE210" s="1556">
        <v>8</v>
      </c>
      <c r="AF210" s="1555">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0" hidden="1" customWidth="1"/>
    <col min="2" max="2" width="3.5703125" style="1566" hidden="1" customWidth="1"/>
    <col min="3" max="3" width="3" style="1559" customWidth="1"/>
    <col min="4" max="4" width="7" style="1559" customWidth="1"/>
    <col min="5" max="5" width="69" style="1559" customWidth="1"/>
    <col min="6" max="6" width="10" style="1559" customWidth="1"/>
    <col min="7" max="8" width="44" style="1559" hidden="1" customWidth="1"/>
    <col min="9" max="9" width="44" style="1559" customWidth="1"/>
    <col min="10" max="10" width="43" style="1559" customWidth="1"/>
    <col min="11" max="11" width="73" style="1559" customWidth="1"/>
    <col min="12" max="12" width="3" style="1559" customWidth="1"/>
    <col min="13" max="23" width="10" style="1559" customWidth="1"/>
    <col min="24" max="24" width="10.5703125" style="1559" hidden="1"/>
  </cols>
  <sheetData>
    <row r="1" spans="1:24" s="1290" customFormat="1" ht="22.5" hidden="1" customHeight="1">
      <c r="A1" s="470"/>
      <c r="B1" s="445"/>
      <c r="G1" s="351">
        <v>4</v>
      </c>
      <c r="I1" s="351">
        <v>4</v>
      </c>
      <c r="K1" s="351">
        <v>5</v>
      </c>
      <c r="X1" s="351" t="s">
        <v>1</v>
      </c>
    </row>
    <row r="2" spans="1:24" ht="3" customHeight="1">
      <c r="X2" s="439">
        <v>3</v>
      </c>
    </row>
    <row r="3" spans="1:24" ht="78.75" customHeight="1">
      <c r="D3" s="38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883"/>
      <c r="F3" s="3884"/>
      <c r="X3" s="439">
        <v>75</v>
      </c>
    </row>
    <row r="4" spans="1:24" s="1559" customFormat="1" ht="21" customHeight="1">
      <c r="A4" s="878"/>
      <c r="B4" s="445"/>
      <c r="D4" s="4009" t="str">
        <f>IF(org=0,"Не определено",org)</f>
        <v>ООО "Смоленскрегионтеплоэнерго"</v>
      </c>
      <c r="E4" s="4010"/>
      <c r="F4" s="4011"/>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9"/>
      <c r="H6" s="949"/>
      <c r="I6" s="949" t="s">
        <v>189</v>
      </c>
      <c r="J6" s="949"/>
      <c r="X6" s="439">
        <v>1</v>
      </c>
    </row>
    <row r="7" spans="1:24" ht="11.45" customHeight="1">
      <c r="D7" s="645"/>
      <c r="E7" s="4120" t="s">
        <v>180</v>
      </c>
      <c r="F7" s="4121"/>
      <c r="G7" s="4140" t="str">
        <f>IF(G6="","",INDEX(DIFFERENTIATION_UNMERGE_VD,MATCH(G6,DIFFERENTIATION_ID_DIFF,0)))</f>
        <v/>
      </c>
      <c r="H7" s="4141"/>
      <c r="I7" s="4140">
        <f>IF(I6="","",INDEX(DIFFERENTIATION_UNMERGE_VD,MATCH(I6,DIFFERENTIATION_ID_DIFF,0)))</f>
        <v>0</v>
      </c>
      <c r="J7" s="4141"/>
      <c r="K7" s="3967"/>
      <c r="L7" s="443"/>
      <c r="X7" s="439">
        <v>11</v>
      </c>
    </row>
    <row r="8" spans="1:24" ht="11.45" customHeight="1">
      <c r="A8" s="638"/>
      <c r="D8" s="645"/>
      <c r="E8" s="4120" t="s">
        <v>773</v>
      </c>
      <c r="F8" s="4121"/>
      <c r="G8" s="4140" t="str">
        <f>IF(G6="","",INDEX(DIFFERENTIATION_UNMERGE_AREA,MATCH(G6,DIFFERENTIATION_ID_DIFF,0)))</f>
        <v/>
      </c>
      <c r="H8" s="4141"/>
      <c r="I8" s="4140" t="str">
        <f>IF(I6="","",INDEX(DIFFERENTIATION_UNMERGE_AREA,MATCH(I6,DIFFERENTIATION_ID_DIFF,0)))</f>
        <v/>
      </c>
      <c r="J8" s="4141"/>
      <c r="K8" s="3972"/>
      <c r="L8" s="443"/>
      <c r="X8" s="439">
        <v>11</v>
      </c>
    </row>
    <row r="9" spans="1:24" ht="11.45" customHeight="1">
      <c r="A9" s="638"/>
      <c r="D9" s="645"/>
      <c r="E9" s="4120" t="s">
        <v>774</v>
      </c>
      <c r="F9" s="4121"/>
      <c r="G9" s="4140" t="str">
        <f>IF(G6="","",INDEX(DIFFERENTIATION_UNMERGE_SYSTEM,MATCH(G6,DIFFERENTIATION_ID_DIFF,0)))</f>
        <v/>
      </c>
      <c r="H9" s="4141"/>
      <c r="I9" s="4140" t="str">
        <f>IF(I6="","",INDEX(DIFFERENTIATION_UNMERGE_SYSTEM,MATCH(I6,DIFFERENTIATION_ID_DIFF,0)))</f>
        <v>без дифференциации</v>
      </c>
      <c r="J9" s="4141"/>
      <c r="K9" s="3972"/>
      <c r="L9" s="443"/>
      <c r="X9" s="439">
        <v>11</v>
      </c>
    </row>
    <row r="10" spans="1:24" s="1559" customFormat="1" ht="11.45" customHeight="1">
      <c r="A10" s="948"/>
      <c r="B10" s="445"/>
      <c r="D10" s="3870" t="s">
        <v>508</v>
      </c>
      <c r="E10" s="3875"/>
      <c r="F10" s="3875"/>
      <c r="G10" s="3875"/>
      <c r="H10" s="3875"/>
      <c r="I10" s="3875"/>
      <c r="J10" s="3869"/>
      <c r="K10" s="3972"/>
      <c r="L10" s="443"/>
      <c r="X10" s="690">
        <v>11</v>
      </c>
    </row>
    <row r="11" spans="1:24" s="1559" customFormat="1" ht="24" customHeight="1">
      <c r="A11" s="4032"/>
      <c r="B11" s="4032"/>
      <c r="C11" s="591"/>
      <c r="D11" s="637" t="s">
        <v>75</v>
      </c>
      <c r="E11" s="639" t="s">
        <v>1015</v>
      </c>
      <c r="F11" s="639" t="s">
        <v>775</v>
      </c>
      <c r="G11" s="399" t="s">
        <v>511</v>
      </c>
      <c r="H11" s="399" t="s">
        <v>598</v>
      </c>
      <c r="I11" s="735" t="s">
        <v>511</v>
      </c>
      <c r="J11" s="736" t="s">
        <v>598</v>
      </c>
      <c r="K11" s="4019"/>
      <c r="L11" s="592"/>
      <c r="X11" s="443">
        <v>23</v>
      </c>
    </row>
    <row r="12" spans="1:24" s="1566" customFormat="1" ht="10.5" customHeight="1">
      <c r="A12" s="879"/>
      <c r="D12" s="952" t="s">
        <v>184</v>
      </c>
      <c r="E12" s="952" t="s">
        <v>89</v>
      </c>
      <c r="F12" s="952" t="s">
        <v>77</v>
      </c>
      <c r="G12" s="953" t="str">
        <f>G1&amp;".1"</f>
        <v>4.1</v>
      </c>
      <c r="H12" s="953" t="str">
        <f>G1&amp;".2"</f>
        <v>4.2</v>
      </c>
      <c r="I12" s="953" t="str">
        <f>I1&amp;".1"</f>
        <v>4.1</v>
      </c>
      <c r="J12" s="953" t="str">
        <f>I1&amp;".2"</f>
        <v>4.2</v>
      </c>
      <c r="K12" s="953"/>
      <c r="X12" s="445">
        <v>10</v>
      </c>
    </row>
    <row r="13" spans="1:24" ht="22.5" customHeight="1">
      <c r="A13" s="4142" t="s">
        <v>1016</v>
      </c>
      <c r="D13" s="880" t="s">
        <v>184</v>
      </c>
      <c r="E13" s="214" t="s">
        <v>1017</v>
      </c>
      <c r="F13" s="594" t="s">
        <v>1018</v>
      </c>
      <c r="G13" s="491"/>
      <c r="H13" s="595"/>
      <c r="I13" s="491"/>
      <c r="J13" s="595"/>
      <c r="K13" s="224" t="s">
        <v>1019</v>
      </c>
      <c r="L13" s="654"/>
      <c r="X13" s="439">
        <v>0</v>
      </c>
    </row>
    <row r="14" spans="1:24" ht="22.5" customHeight="1">
      <c r="A14" s="4142"/>
      <c r="D14" s="473" t="s">
        <v>89</v>
      </c>
      <c r="E14" s="214" t="s">
        <v>1020</v>
      </c>
      <c r="F14" s="594" t="s">
        <v>1021</v>
      </c>
      <c r="G14" s="491"/>
      <c r="H14" s="596"/>
      <c r="I14" s="491"/>
      <c r="J14" s="596"/>
      <c r="K14" s="224" t="s">
        <v>1022</v>
      </c>
      <c r="L14" s="654"/>
      <c r="X14" s="439">
        <v>0</v>
      </c>
    </row>
    <row r="15" spans="1:24" s="1559" customFormat="1" ht="78.75" customHeight="1">
      <c r="A15" s="4142"/>
      <c r="B15" s="445"/>
      <c r="D15" s="880" t="s">
        <v>77</v>
      </c>
      <c r="E15" s="641" t="s">
        <v>1023</v>
      </c>
      <c r="F15" s="877" t="s">
        <v>514</v>
      </c>
      <c r="G15" s="877" t="s">
        <v>514</v>
      </c>
      <c r="H15" s="45"/>
      <c r="I15" s="877" t="s">
        <v>514</v>
      </c>
      <c r="J15" s="45"/>
      <c r="K15" s="224" t="s">
        <v>1024</v>
      </c>
      <c r="L15" s="654"/>
      <c r="X15" s="690">
        <v>0</v>
      </c>
    </row>
    <row r="16" spans="1:24" s="1559" customFormat="1" ht="22.5" customHeight="1">
      <c r="A16" s="4142"/>
      <c r="B16" s="445"/>
      <c r="D16" s="880" t="s">
        <v>532</v>
      </c>
      <c r="E16" s="881" t="s">
        <v>1025</v>
      </c>
      <c r="F16" s="877" t="s">
        <v>1026</v>
      </c>
      <c r="G16" s="745"/>
      <c r="H16" s="45"/>
      <c r="I16" s="745"/>
      <c r="J16" s="45"/>
      <c r="K16" s="224"/>
      <c r="L16" s="654"/>
      <c r="X16" s="690">
        <v>0</v>
      </c>
    </row>
    <row r="17" spans="1:24" s="1559" customFormat="1" ht="22.5" customHeight="1">
      <c r="A17" s="4142"/>
      <c r="B17" s="445"/>
      <c r="D17" s="880" t="s">
        <v>540</v>
      </c>
      <c r="E17" s="881" t="s">
        <v>1027</v>
      </c>
      <c r="F17" s="877" t="s">
        <v>1028</v>
      </c>
      <c r="G17" s="745"/>
      <c r="H17" s="45"/>
      <c r="I17" s="745"/>
      <c r="J17" s="45"/>
      <c r="K17" s="224"/>
      <c r="L17" s="654"/>
      <c r="X17" s="690">
        <v>0</v>
      </c>
    </row>
    <row r="18" spans="1:24" s="1559" customFormat="1" ht="33.75" customHeight="1">
      <c r="A18" s="4142"/>
      <c r="B18" s="445"/>
      <c r="D18" s="880" t="s">
        <v>542</v>
      </c>
      <c r="E18" s="881" t="s">
        <v>1029</v>
      </c>
      <c r="F18" s="877" t="s">
        <v>780</v>
      </c>
      <c r="G18" s="614"/>
      <c r="H18" s="45"/>
      <c r="I18" s="614"/>
      <c r="J18" s="45"/>
      <c r="K18" s="224"/>
      <c r="L18" s="654"/>
      <c r="X18" s="690">
        <v>0</v>
      </c>
    </row>
    <row r="19" spans="1:24" ht="101.25" customHeight="1">
      <c r="A19" s="4142"/>
      <c r="D19" s="880" t="s">
        <v>78</v>
      </c>
      <c r="E19" s="214" t="s">
        <v>1030</v>
      </c>
      <c r="F19" s="594" t="s">
        <v>755</v>
      </c>
      <c r="G19" s="597"/>
      <c r="H19" s="596"/>
      <c r="I19" s="882"/>
      <c r="J19" s="596"/>
      <c r="K19" s="224" t="s">
        <v>1031</v>
      </c>
      <c r="L19" s="654"/>
      <c r="X19" s="439">
        <v>0</v>
      </c>
    </row>
    <row r="20" spans="1:24" s="1559" customFormat="1" ht="18.75" customHeight="1">
      <c r="A20" s="4142"/>
      <c r="C20" s="883"/>
      <c r="D20" s="880" t="s">
        <v>962</v>
      </c>
      <c r="E20" s="881" t="s">
        <v>1032</v>
      </c>
      <c r="F20" s="877" t="s">
        <v>514</v>
      </c>
      <c r="G20" s="877" t="s">
        <v>514</v>
      </c>
      <c r="H20" s="876" t="s">
        <v>514</v>
      </c>
      <c r="I20" s="877" t="s">
        <v>514</v>
      </c>
      <c r="J20" s="876" t="s">
        <v>514</v>
      </c>
      <c r="K20" s="875"/>
      <c r="L20" s="654"/>
      <c r="W20" s="609"/>
      <c r="X20" s="690">
        <v>0</v>
      </c>
    </row>
    <row r="21" spans="1:24" s="1559" customFormat="1" ht="33.75" customHeight="1">
      <c r="A21" s="4142"/>
      <c r="C21" s="883"/>
      <c r="D21" s="880" t="s">
        <v>965</v>
      </c>
      <c r="E21" s="510" t="s">
        <v>1033</v>
      </c>
      <c r="F21" s="877" t="s">
        <v>1034</v>
      </c>
      <c r="G21" s="614"/>
      <c r="H21" s="45"/>
      <c r="I21" s="614"/>
      <c r="J21" s="45"/>
      <c r="K21" s="875"/>
      <c r="L21" s="654"/>
      <c r="W21" s="609"/>
      <c r="X21" s="690">
        <v>0</v>
      </c>
    </row>
    <row r="22" spans="1:24" s="1559" customFormat="1" ht="33.75" customHeight="1">
      <c r="A22" s="4142"/>
      <c r="C22" s="883"/>
      <c r="D22" s="880" t="s">
        <v>968</v>
      </c>
      <c r="E22" s="510" t="s">
        <v>1035</v>
      </c>
      <c r="F22" s="877" t="s">
        <v>1036</v>
      </c>
      <c r="G22" s="614"/>
      <c r="H22" s="45"/>
      <c r="I22" s="614"/>
      <c r="J22" s="45"/>
      <c r="K22" s="875"/>
      <c r="L22" s="654"/>
      <c r="W22" s="609"/>
      <c r="X22" s="690">
        <v>0</v>
      </c>
    </row>
    <row r="23" spans="1:24" s="1559" customFormat="1" ht="22.5" customHeight="1">
      <c r="A23" s="4142"/>
      <c r="C23" s="883"/>
      <c r="D23" s="880" t="s">
        <v>1004</v>
      </c>
      <c r="E23" s="881" t="s">
        <v>1037</v>
      </c>
      <c r="F23" s="877" t="s">
        <v>514</v>
      </c>
      <c r="G23" s="877" t="s">
        <v>514</v>
      </c>
      <c r="H23" s="876" t="s">
        <v>514</v>
      </c>
      <c r="I23" s="877" t="s">
        <v>514</v>
      </c>
      <c r="J23" s="876" t="s">
        <v>514</v>
      </c>
      <c r="K23" s="875"/>
      <c r="L23" s="654"/>
      <c r="W23" s="609"/>
      <c r="X23" s="690">
        <v>0</v>
      </c>
    </row>
    <row r="24" spans="1:24" s="1559" customFormat="1" ht="22.5" customHeight="1">
      <c r="A24" s="4142"/>
      <c r="C24" s="883"/>
      <c r="D24" s="880" t="s">
        <v>1038</v>
      </c>
      <c r="E24" s="510" t="s">
        <v>1039</v>
      </c>
      <c r="F24" s="877" t="s">
        <v>1040</v>
      </c>
      <c r="G24" s="614"/>
      <c r="H24" s="620"/>
      <c r="I24" s="614"/>
      <c r="J24" s="620"/>
      <c r="K24" s="875"/>
      <c r="L24" s="654"/>
      <c r="W24" s="609"/>
      <c r="X24" s="690">
        <v>0</v>
      </c>
    </row>
    <row r="25" spans="1:24" s="1559" customFormat="1" ht="22.5" customHeight="1">
      <c r="A25" s="4142"/>
      <c r="C25" s="883"/>
      <c r="D25" s="880" t="s">
        <v>1041</v>
      </c>
      <c r="E25" s="510" t="s">
        <v>1042</v>
      </c>
      <c r="F25" s="877" t="s">
        <v>514</v>
      </c>
      <c r="G25" s="877" t="s">
        <v>514</v>
      </c>
      <c r="H25" s="876" t="s">
        <v>514</v>
      </c>
      <c r="I25" s="877" t="s">
        <v>514</v>
      </c>
      <c r="J25" s="876" t="s">
        <v>514</v>
      </c>
      <c r="K25" s="875"/>
      <c r="L25" s="654"/>
      <c r="W25" s="609"/>
      <c r="X25" s="690">
        <v>0</v>
      </c>
    </row>
    <row r="26" spans="1:24" s="1559" customFormat="1" ht="18.75" customHeight="1">
      <c r="A26" s="4142"/>
      <c r="C26" s="883"/>
      <c r="D26" s="880" t="s">
        <v>1043</v>
      </c>
      <c r="E26" s="487" t="s">
        <v>1044</v>
      </c>
      <c r="F26" s="877" t="s">
        <v>1045</v>
      </c>
      <c r="G26" s="614"/>
      <c r="H26" s="620"/>
      <c r="I26" s="614"/>
      <c r="J26" s="620"/>
      <c r="K26" s="875"/>
      <c r="L26" s="654"/>
      <c r="W26" s="609"/>
      <c r="X26" s="690">
        <v>0</v>
      </c>
    </row>
    <row r="27" spans="1:24" s="1559" customFormat="1" ht="18.75" customHeight="1">
      <c r="A27" s="4142"/>
      <c r="C27" s="883"/>
      <c r="D27" s="880" t="s">
        <v>1046</v>
      </c>
      <c r="E27" s="487" t="s">
        <v>1047</v>
      </c>
      <c r="F27" s="877" t="s">
        <v>1048</v>
      </c>
      <c r="G27" s="614"/>
      <c r="H27" s="620"/>
      <c r="I27" s="614"/>
      <c r="J27" s="620"/>
      <c r="K27" s="875"/>
      <c r="L27" s="654"/>
      <c r="W27" s="609"/>
      <c r="X27" s="690">
        <v>0</v>
      </c>
    </row>
    <row r="28" spans="1:24" s="1559" customFormat="1" ht="18.75" customHeight="1">
      <c r="A28" s="4142"/>
      <c r="C28" s="883"/>
      <c r="D28" s="880" t="s">
        <v>1049</v>
      </c>
      <c r="E28" s="510" t="s">
        <v>1050</v>
      </c>
      <c r="F28" s="877" t="s">
        <v>514</v>
      </c>
      <c r="G28" s="877" t="s">
        <v>514</v>
      </c>
      <c r="H28" s="876" t="s">
        <v>514</v>
      </c>
      <c r="I28" s="877" t="s">
        <v>514</v>
      </c>
      <c r="J28" s="876" t="s">
        <v>514</v>
      </c>
      <c r="K28" s="875"/>
      <c r="L28" s="654"/>
      <c r="W28" s="609"/>
      <c r="X28" s="690">
        <v>0</v>
      </c>
    </row>
    <row r="29" spans="1:24" s="1559" customFormat="1" ht="18.75" customHeight="1">
      <c r="A29" s="4142"/>
      <c r="C29" s="883"/>
      <c r="D29" s="880" t="s">
        <v>1051</v>
      </c>
      <c r="E29" s="487" t="s">
        <v>1044</v>
      </c>
      <c r="F29" s="877" t="s">
        <v>1052</v>
      </c>
      <c r="G29" s="614"/>
      <c r="H29" s="620"/>
      <c r="I29" s="614"/>
      <c r="J29" s="620"/>
      <c r="K29" s="875"/>
      <c r="L29" s="654"/>
      <c r="W29" s="609"/>
      <c r="X29" s="690">
        <v>0</v>
      </c>
    </row>
    <row r="30" spans="1:24" s="1559" customFormat="1" ht="18.75" customHeight="1">
      <c r="A30" s="4142"/>
      <c r="C30" s="883"/>
      <c r="D30" s="880" t="s">
        <v>1053</v>
      </c>
      <c r="E30" s="487" t="s">
        <v>1054</v>
      </c>
      <c r="F30" s="877" t="s">
        <v>1055</v>
      </c>
      <c r="G30" s="614"/>
      <c r="H30" s="620"/>
      <c r="I30" s="614"/>
      <c r="J30" s="620"/>
      <c r="K30" s="875"/>
      <c r="L30" s="654"/>
      <c r="W30" s="609"/>
      <c r="X30" s="690">
        <v>0</v>
      </c>
    </row>
    <row r="31" spans="1:24" ht="126.75" customHeight="1">
      <c r="A31" s="4142"/>
      <c r="D31" s="880" t="s">
        <v>115</v>
      </c>
      <c r="E31" s="214" t="s">
        <v>1056</v>
      </c>
      <c r="F31" s="594" t="s">
        <v>767</v>
      </c>
      <c r="G31" s="491"/>
      <c r="H31" s="596"/>
      <c r="I31" s="491"/>
      <c r="J31" s="596"/>
      <c r="K31" s="224" t="s">
        <v>1057</v>
      </c>
      <c r="L31" s="654"/>
      <c r="X31" s="439">
        <v>0</v>
      </c>
    </row>
    <row r="32" spans="1:24" ht="56.25" customHeight="1">
      <c r="A32" s="4142"/>
      <c r="D32" s="880" t="s">
        <v>79</v>
      </c>
      <c r="E32" s="214" t="s">
        <v>1058</v>
      </c>
      <c r="F32" s="473" t="s">
        <v>1028</v>
      </c>
      <c r="G32" s="491"/>
      <c r="H32" s="596"/>
      <c r="I32" s="491"/>
      <c r="J32" s="596"/>
      <c r="K32" s="224" t="s">
        <v>1059</v>
      </c>
      <c r="L32" s="654"/>
      <c r="X32" s="439">
        <v>0</v>
      </c>
    </row>
    <row r="33" spans="1:24" ht="11.25" customHeight="1">
      <c r="A33" s="4142"/>
      <c r="E33" s="598"/>
      <c r="F33" s="116"/>
      <c r="G33" s="116"/>
      <c r="H33" s="116"/>
      <c r="I33" s="116"/>
      <c r="J33" s="116"/>
      <c r="K33" s="116"/>
      <c r="X33" s="439">
        <v>0</v>
      </c>
    </row>
    <row r="34" spans="1:24" ht="12.75" customHeight="1">
      <c r="A34" s="4142"/>
      <c r="D34" s="4">
        <v>1</v>
      </c>
      <c r="E34" s="270" t="s">
        <v>1060</v>
      </c>
      <c r="X34" s="439">
        <v>0</v>
      </c>
    </row>
    <row r="35" spans="1:24" ht="11.25" customHeight="1">
      <c r="A35" s="4142"/>
      <c r="D35" s="303"/>
      <c r="E35" s="270" t="s">
        <v>1061</v>
      </c>
      <c r="X35" s="439">
        <v>0</v>
      </c>
    </row>
    <row r="36" spans="1:24" s="1559" customFormat="1" ht="11.45" customHeight="1">
      <c r="A36" s="960"/>
      <c r="B36" s="452"/>
      <c r="D36" s="961"/>
      <c r="E36" s="962"/>
      <c r="X36" s="443">
        <v>11</v>
      </c>
    </row>
    <row r="37" spans="1:24" s="1559" customFormat="1" ht="22.5" hidden="1" customHeight="1">
      <c r="A37" s="4142" t="s">
        <v>1062</v>
      </c>
      <c r="B37" s="445"/>
      <c r="D37" s="880">
        <v>1</v>
      </c>
      <c r="E37" s="641" t="s">
        <v>1063</v>
      </c>
      <c r="F37" s="594" t="s">
        <v>1018</v>
      </c>
      <c r="G37" s="491"/>
      <c r="H37" s="453"/>
      <c r="I37" s="491"/>
      <c r="J37" s="453"/>
      <c r="K37" s="224" t="s">
        <v>1064</v>
      </c>
      <c r="X37" s="690">
        <v>0</v>
      </c>
    </row>
    <row r="38" spans="1:24" s="1559" customFormat="1" ht="22.5" hidden="1" customHeight="1">
      <c r="A38" s="4142"/>
      <c r="B38" s="445"/>
      <c r="D38" s="603" t="s">
        <v>89</v>
      </c>
      <c r="E38" s="959" t="s">
        <v>1065</v>
      </c>
      <c r="F38" s="963" t="s">
        <v>755</v>
      </c>
      <c r="G38" s="963" t="s">
        <v>755</v>
      </c>
      <c r="H38" s="957"/>
      <c r="I38" s="963" t="s">
        <v>755</v>
      </c>
      <c r="J38" s="957"/>
      <c r="K38" s="958"/>
      <c r="X38" s="690">
        <v>0</v>
      </c>
    </row>
    <row r="39" spans="1:24" s="1559" customFormat="1" ht="33.75" hidden="1" customHeight="1">
      <c r="A39" s="4142"/>
      <c r="B39" s="445"/>
      <c r="D39" s="599" t="s">
        <v>920</v>
      </c>
      <c r="E39" s="657" t="s">
        <v>1066</v>
      </c>
      <c r="F39" s="594" t="s">
        <v>1067</v>
      </c>
      <c r="G39" s="602"/>
      <c r="H39" s="950"/>
      <c r="I39" s="602"/>
      <c r="J39" s="950"/>
      <c r="K39" s="224" t="s">
        <v>1068</v>
      </c>
      <c r="X39" s="690">
        <v>0</v>
      </c>
    </row>
    <row r="40" spans="1:24" s="1559" customFormat="1" ht="33.75" hidden="1" customHeight="1">
      <c r="A40" s="4142"/>
      <c r="B40" s="445"/>
      <c r="D40" s="599" t="s">
        <v>923</v>
      </c>
      <c r="E40" s="657" t="s">
        <v>1069</v>
      </c>
      <c r="F40" s="954" t="s">
        <v>1070</v>
      </c>
      <c r="G40" s="675"/>
      <c r="H40" s="950"/>
      <c r="I40" s="675"/>
      <c r="J40" s="950"/>
      <c r="K40" s="224" t="s">
        <v>1071</v>
      </c>
      <c r="X40" s="690">
        <v>0</v>
      </c>
    </row>
    <row r="41" spans="1:24" s="1559" customFormat="1" ht="22.5" hidden="1" customHeight="1">
      <c r="A41" s="4142"/>
      <c r="B41" s="445"/>
      <c r="D41" s="599" t="s">
        <v>77</v>
      </c>
      <c r="E41" s="656" t="s">
        <v>1072</v>
      </c>
      <c r="F41" s="594" t="s">
        <v>755</v>
      </c>
      <c r="G41" s="594" t="s">
        <v>755</v>
      </c>
      <c r="H41" s="951"/>
      <c r="I41" s="594" t="s">
        <v>755</v>
      </c>
      <c r="J41" s="951"/>
      <c r="K41" s="237"/>
      <c r="X41" s="690">
        <v>0</v>
      </c>
    </row>
    <row r="42" spans="1:24" s="1559" customFormat="1" ht="45" hidden="1" customHeight="1">
      <c r="A42" s="4142"/>
      <c r="B42" s="445"/>
      <c r="D42" s="599" t="s">
        <v>532</v>
      </c>
      <c r="E42" s="657" t="s">
        <v>1073</v>
      </c>
      <c r="F42" s="594" t="s">
        <v>767</v>
      </c>
      <c r="G42" s="491"/>
      <c r="H42" s="951"/>
      <c r="I42" s="491"/>
      <c r="J42" s="951"/>
      <c r="K42" s="237" t="s">
        <v>1074</v>
      </c>
      <c r="X42" s="690">
        <v>0</v>
      </c>
    </row>
    <row r="43" spans="1:24" s="1559" customFormat="1" ht="45" hidden="1" customHeight="1">
      <c r="A43" s="4142"/>
      <c r="B43" s="445"/>
      <c r="D43" s="599" t="s">
        <v>540</v>
      </c>
      <c r="E43" s="601" t="s">
        <v>1075</v>
      </c>
      <c r="F43" s="955" t="s">
        <v>767</v>
      </c>
      <c r="G43" s="676"/>
      <c r="H43" s="950"/>
      <c r="I43" s="676"/>
      <c r="J43" s="950"/>
      <c r="K43" s="237" t="s">
        <v>1076</v>
      </c>
      <c r="X43" s="690">
        <v>0</v>
      </c>
    </row>
    <row r="44" spans="1:24" s="1559" customFormat="1" ht="11.25" hidden="1" customHeight="1">
      <c r="A44" s="4142"/>
      <c r="B44" s="445"/>
      <c r="D44" s="599" t="s">
        <v>78</v>
      </c>
      <c r="E44" s="600" t="s">
        <v>1077</v>
      </c>
      <c r="F44" s="594" t="s">
        <v>1067</v>
      </c>
      <c r="G44" s="602"/>
      <c r="H44" s="950"/>
      <c r="I44" s="602"/>
      <c r="J44" s="950"/>
      <c r="K44" s="224"/>
      <c r="X44" s="690">
        <v>0</v>
      </c>
    </row>
    <row r="45" spans="1:24" s="1559" customFormat="1" ht="11.25" hidden="1" customHeight="1">
      <c r="A45" s="4142"/>
      <c r="B45" s="445"/>
      <c r="D45" s="599" t="s">
        <v>962</v>
      </c>
      <c r="E45" s="601" t="s">
        <v>1078</v>
      </c>
      <c r="F45" s="594" t="s">
        <v>1067</v>
      </c>
      <c r="G45" s="602"/>
      <c r="H45" s="950"/>
      <c r="I45" s="602"/>
      <c r="J45" s="950"/>
      <c r="K45" s="224"/>
      <c r="X45" s="690">
        <v>0</v>
      </c>
    </row>
    <row r="46" spans="1:24" s="1559" customFormat="1" ht="11.25" hidden="1" customHeight="1">
      <c r="A46" s="4142"/>
      <c r="B46" s="445"/>
      <c r="D46" s="599" t="s">
        <v>1004</v>
      </c>
      <c r="E46" s="601" t="s">
        <v>1079</v>
      </c>
      <c r="F46" s="594" t="s">
        <v>1067</v>
      </c>
      <c r="G46" s="602"/>
      <c r="H46" s="950"/>
      <c r="I46" s="602"/>
      <c r="J46" s="950"/>
      <c r="K46" s="224"/>
      <c r="X46" s="690">
        <v>0</v>
      </c>
    </row>
    <row r="47" spans="1:24" s="1559" customFormat="1" ht="11.25" hidden="1" customHeight="1">
      <c r="A47" s="4142"/>
      <c r="B47" s="445"/>
      <c r="D47" s="599" t="s">
        <v>1007</v>
      </c>
      <c r="E47" s="601" t="s">
        <v>1080</v>
      </c>
      <c r="F47" s="594" t="s">
        <v>1067</v>
      </c>
      <c r="G47" s="602"/>
      <c r="H47" s="950"/>
      <c r="I47" s="602"/>
      <c r="J47" s="950"/>
      <c r="K47" s="224"/>
      <c r="X47" s="690">
        <v>0</v>
      </c>
    </row>
    <row r="48" spans="1:24" s="1559" customFormat="1" ht="11.25" hidden="1" customHeight="1">
      <c r="A48" s="4142"/>
      <c r="B48" s="445"/>
      <c r="D48" s="599" t="s">
        <v>1081</v>
      </c>
      <c r="E48" s="605" t="s">
        <v>1082</v>
      </c>
      <c r="F48" s="594" t="s">
        <v>1067</v>
      </c>
      <c r="G48" s="602"/>
      <c r="H48" s="950"/>
      <c r="I48" s="602"/>
      <c r="J48" s="950"/>
      <c r="K48" s="224"/>
      <c r="X48" s="690">
        <v>0</v>
      </c>
    </row>
    <row r="49" spans="1:24" s="1559" customFormat="1" ht="11.25" hidden="1" customHeight="1">
      <c r="A49" s="4142"/>
      <c r="B49" s="445"/>
      <c r="D49" s="599" t="s">
        <v>1083</v>
      </c>
      <c r="E49" s="605" t="s">
        <v>1084</v>
      </c>
      <c r="F49" s="594" t="s">
        <v>1067</v>
      </c>
      <c r="G49" s="602"/>
      <c r="H49" s="950"/>
      <c r="I49" s="602"/>
      <c r="J49" s="950"/>
      <c r="K49" s="224"/>
      <c r="X49" s="690">
        <v>0</v>
      </c>
    </row>
    <row r="50" spans="1:24" s="1559" customFormat="1" ht="11.25" hidden="1" customHeight="1">
      <c r="A50" s="4142"/>
      <c r="B50" s="445"/>
      <c r="D50" s="599" t="s">
        <v>1085</v>
      </c>
      <c r="E50" s="601" t="s">
        <v>1086</v>
      </c>
      <c r="F50" s="594" t="s">
        <v>1067</v>
      </c>
      <c r="G50" s="602"/>
      <c r="H50" s="950"/>
      <c r="I50" s="602"/>
      <c r="J50" s="950"/>
      <c r="K50" s="224"/>
      <c r="X50" s="690">
        <v>0</v>
      </c>
    </row>
    <row r="51" spans="1:24" s="1559" customFormat="1" ht="11.25" hidden="1" customHeight="1">
      <c r="A51" s="4142"/>
      <c r="B51" s="445"/>
      <c r="D51" s="599" t="s">
        <v>1087</v>
      </c>
      <c r="E51" s="601" t="s">
        <v>1088</v>
      </c>
      <c r="F51" s="594" t="s">
        <v>1067</v>
      </c>
      <c r="G51" s="602"/>
      <c r="H51" s="950"/>
      <c r="I51" s="602"/>
      <c r="J51" s="950"/>
      <c r="K51" s="224"/>
      <c r="X51" s="690">
        <v>0</v>
      </c>
    </row>
    <row r="52" spans="1:24" s="1559" customFormat="1" ht="45" hidden="1" customHeight="1">
      <c r="A52" s="4142"/>
      <c r="B52" s="445"/>
      <c r="D52" s="599" t="s">
        <v>115</v>
      </c>
      <c r="E52" s="600" t="s">
        <v>1089</v>
      </c>
      <c r="F52" s="594" t="s">
        <v>1067</v>
      </c>
      <c r="G52" s="602"/>
      <c r="H52" s="950"/>
      <c r="I52" s="602"/>
      <c r="J52" s="950"/>
      <c r="K52" s="224"/>
      <c r="X52" s="690">
        <v>0</v>
      </c>
    </row>
    <row r="53" spans="1:24" s="1559" customFormat="1" ht="11.25" hidden="1" customHeight="1">
      <c r="A53" s="4142"/>
      <c r="B53" s="445"/>
      <c r="D53" s="599" t="s">
        <v>521</v>
      </c>
      <c r="E53" s="601" t="s">
        <v>1078</v>
      </c>
      <c r="F53" s="594" t="s">
        <v>1067</v>
      </c>
      <c r="G53" s="602"/>
      <c r="H53" s="950"/>
      <c r="I53" s="602"/>
      <c r="J53" s="950"/>
      <c r="K53" s="224"/>
      <c r="X53" s="690">
        <v>0</v>
      </c>
    </row>
    <row r="54" spans="1:24" s="1559" customFormat="1" ht="11.25" hidden="1" customHeight="1">
      <c r="A54" s="4142"/>
      <c r="B54" s="445"/>
      <c r="D54" s="599" t="s">
        <v>1090</v>
      </c>
      <c r="E54" s="601" t="s">
        <v>1079</v>
      </c>
      <c r="F54" s="594" t="s">
        <v>1067</v>
      </c>
      <c r="G54" s="602"/>
      <c r="H54" s="950"/>
      <c r="I54" s="602"/>
      <c r="J54" s="950"/>
      <c r="K54" s="224"/>
      <c r="X54" s="690">
        <v>0</v>
      </c>
    </row>
    <row r="55" spans="1:24" s="1559" customFormat="1" ht="11.25" hidden="1" customHeight="1">
      <c r="A55" s="4142"/>
      <c r="B55" s="445"/>
      <c r="D55" s="599" t="s">
        <v>1091</v>
      </c>
      <c r="E55" s="601" t="s">
        <v>1080</v>
      </c>
      <c r="F55" s="594" t="s">
        <v>1067</v>
      </c>
      <c r="G55" s="602"/>
      <c r="H55" s="950"/>
      <c r="I55" s="602"/>
      <c r="J55" s="950"/>
      <c r="K55" s="224"/>
      <c r="X55" s="690">
        <v>0</v>
      </c>
    </row>
    <row r="56" spans="1:24" s="1559" customFormat="1" ht="11.25" hidden="1" customHeight="1">
      <c r="A56" s="4142"/>
      <c r="B56" s="445"/>
      <c r="D56" s="599" t="s">
        <v>1092</v>
      </c>
      <c r="E56" s="605" t="s">
        <v>1082</v>
      </c>
      <c r="F56" s="594" t="s">
        <v>1067</v>
      </c>
      <c r="G56" s="602"/>
      <c r="H56" s="950"/>
      <c r="I56" s="602"/>
      <c r="J56" s="950"/>
      <c r="K56" s="224"/>
      <c r="X56" s="690">
        <v>0</v>
      </c>
    </row>
    <row r="57" spans="1:24" s="1559" customFormat="1" ht="11.25" hidden="1" customHeight="1">
      <c r="A57" s="4142"/>
      <c r="B57" s="445"/>
      <c r="D57" s="599" t="s">
        <v>1093</v>
      </c>
      <c r="E57" s="605" t="s">
        <v>1084</v>
      </c>
      <c r="F57" s="594" t="s">
        <v>1067</v>
      </c>
      <c r="G57" s="602"/>
      <c r="H57" s="950"/>
      <c r="I57" s="602"/>
      <c r="J57" s="950"/>
      <c r="K57" s="224"/>
      <c r="X57" s="690">
        <v>0</v>
      </c>
    </row>
    <row r="58" spans="1:24" s="1559" customFormat="1" ht="11.25" hidden="1" customHeight="1">
      <c r="A58" s="4142"/>
      <c r="B58" s="445"/>
      <c r="D58" s="599" t="s">
        <v>1094</v>
      </c>
      <c r="E58" s="601" t="s">
        <v>1086</v>
      </c>
      <c r="F58" s="594" t="s">
        <v>1067</v>
      </c>
      <c r="G58" s="602"/>
      <c r="H58" s="950"/>
      <c r="I58" s="602"/>
      <c r="J58" s="950"/>
      <c r="K58" s="224"/>
      <c r="X58" s="690">
        <v>0</v>
      </c>
    </row>
    <row r="59" spans="1:24" s="1559" customFormat="1" ht="11.25" hidden="1" customHeight="1">
      <c r="A59" s="4142"/>
      <c r="B59" s="445"/>
      <c r="D59" s="599" t="s">
        <v>1095</v>
      </c>
      <c r="E59" s="601" t="s">
        <v>1088</v>
      </c>
      <c r="F59" s="594" t="s">
        <v>1067</v>
      </c>
      <c r="G59" s="602"/>
      <c r="H59" s="950"/>
      <c r="I59" s="602"/>
      <c r="J59" s="950"/>
      <c r="K59" s="224"/>
      <c r="X59" s="690">
        <v>0</v>
      </c>
    </row>
    <row r="60" spans="1:24" s="1559" customFormat="1" ht="33.75" hidden="1" customHeight="1">
      <c r="A60" s="4142"/>
      <c r="B60" s="445"/>
      <c r="D60" s="599" t="s">
        <v>79</v>
      </c>
      <c r="E60" s="600" t="s">
        <v>1096</v>
      </c>
      <c r="F60" s="655" t="s">
        <v>767</v>
      </c>
      <c r="G60" s="676"/>
      <c r="H60" s="950"/>
      <c r="I60" s="676"/>
      <c r="J60" s="950"/>
      <c r="K60" s="237" t="s">
        <v>1097</v>
      </c>
      <c r="X60" s="690">
        <v>0</v>
      </c>
    </row>
    <row r="61" spans="1:24" s="1559" customFormat="1" ht="33.75" hidden="1" customHeight="1">
      <c r="A61" s="4142"/>
      <c r="B61" s="445"/>
      <c r="D61" s="599" t="s">
        <v>80</v>
      </c>
      <c r="E61" s="600" t="s">
        <v>1098</v>
      </c>
      <c r="F61" s="660" t="s">
        <v>1028</v>
      </c>
      <c r="G61" s="602"/>
      <c r="H61" s="950"/>
      <c r="I61" s="602"/>
      <c r="J61" s="950"/>
      <c r="K61" s="224"/>
      <c r="X61" s="690">
        <v>0</v>
      </c>
    </row>
    <row r="62" spans="1:24" s="1559" customFormat="1" ht="22.5" hidden="1" customHeight="1">
      <c r="A62" s="4142"/>
      <c r="B62" s="445" t="s">
        <v>797</v>
      </c>
      <c r="D62" s="599" t="s">
        <v>134</v>
      </c>
      <c r="E62" s="600" t="s">
        <v>1099</v>
      </c>
      <c r="F62" s="660" t="s">
        <v>514</v>
      </c>
      <c r="G62" s="316"/>
      <c r="H62" s="950"/>
      <c r="I62" s="316"/>
      <c r="J62" s="950"/>
      <c r="K62" s="224" t="s">
        <v>840</v>
      </c>
      <c r="X62" s="690">
        <v>0</v>
      </c>
    </row>
    <row r="63" spans="1:24" s="1559" customFormat="1" ht="45" hidden="1" customHeight="1">
      <c r="A63" s="4142"/>
      <c r="B63" s="445" t="s">
        <v>797</v>
      </c>
      <c r="D63" s="599" t="s">
        <v>1100</v>
      </c>
      <c r="E63" s="601" t="s">
        <v>1101</v>
      </c>
      <c r="F63" s="655" t="s">
        <v>514</v>
      </c>
      <c r="G63" s="316"/>
      <c r="H63" s="950"/>
      <c r="I63" s="316"/>
      <c r="J63" s="950"/>
      <c r="K63" s="224" t="s">
        <v>840</v>
      </c>
      <c r="X63" s="690">
        <v>0</v>
      </c>
    </row>
    <row r="64" spans="1:24" s="1559" customFormat="1" ht="11.45" customHeight="1">
      <c r="A64" s="960"/>
      <c r="B64" s="452"/>
      <c r="D64" s="961"/>
      <c r="E64" s="962"/>
      <c r="X64" s="443">
        <v>11</v>
      </c>
    </row>
    <row r="65" spans="1:24" s="1559" customFormat="1" ht="22.5" hidden="1" customHeight="1">
      <c r="A65" s="4142" t="s">
        <v>1102</v>
      </c>
      <c r="B65" s="445"/>
      <c r="D65" s="599">
        <v>1</v>
      </c>
      <c r="E65" s="678" t="s">
        <v>1103</v>
      </c>
      <c r="F65" s="674" t="s">
        <v>1018</v>
      </c>
      <c r="G65" s="675"/>
      <c r="H65" s="956"/>
      <c r="I65" s="675"/>
      <c r="J65" s="956"/>
      <c r="K65" s="236" t="s">
        <v>1104</v>
      </c>
      <c r="X65" s="690">
        <v>0</v>
      </c>
    </row>
    <row r="66" spans="1:24" s="1559" customFormat="1" ht="56.25" hidden="1" customHeight="1">
      <c r="A66" s="4142"/>
      <c r="B66" s="445"/>
      <c r="D66" s="677" t="s">
        <v>89</v>
      </c>
      <c r="E66" s="641" t="s">
        <v>1105</v>
      </c>
      <c r="F66" s="594" t="s">
        <v>755</v>
      </c>
      <c r="G66" s="594" t="s">
        <v>755</v>
      </c>
      <c r="H66" s="453"/>
      <c r="I66" s="594" t="s">
        <v>755</v>
      </c>
      <c r="J66" s="453"/>
      <c r="K66" s="224"/>
      <c r="X66" s="690">
        <v>0</v>
      </c>
    </row>
    <row r="67" spans="1:24" s="1559" customFormat="1" ht="33.75" hidden="1" customHeight="1">
      <c r="A67" s="4142"/>
      <c r="B67" s="445"/>
      <c r="D67" s="677" t="s">
        <v>917</v>
      </c>
      <c r="E67" s="881" t="s">
        <v>1106</v>
      </c>
      <c r="F67" s="594" t="s">
        <v>1070</v>
      </c>
      <c r="G67" s="661"/>
      <c r="H67" s="453"/>
      <c r="I67" s="661"/>
      <c r="J67" s="453"/>
      <c r="K67" s="224"/>
      <c r="X67" s="690">
        <v>0</v>
      </c>
    </row>
    <row r="68" spans="1:24" s="1559" customFormat="1" ht="22.5" hidden="1" customHeight="1">
      <c r="A68" s="4142"/>
      <c r="B68" s="445"/>
      <c r="D68" s="677" t="s">
        <v>515</v>
      </c>
      <c r="E68" s="881" t="s">
        <v>1107</v>
      </c>
      <c r="F68" s="594" t="s">
        <v>1070</v>
      </c>
      <c r="G68" s="661"/>
      <c r="H68" s="453"/>
      <c r="I68" s="661"/>
      <c r="J68" s="453"/>
      <c r="K68" s="224"/>
      <c r="X68" s="690">
        <v>0</v>
      </c>
    </row>
    <row r="69" spans="1:24" s="1559" customFormat="1" ht="22.5" hidden="1" customHeight="1">
      <c r="A69" s="4142"/>
      <c r="B69" s="445"/>
      <c r="D69" s="677" t="s">
        <v>518</v>
      </c>
      <c r="E69" s="881" t="s">
        <v>1108</v>
      </c>
      <c r="F69" s="655" t="s">
        <v>767</v>
      </c>
      <c r="G69" s="676"/>
      <c r="H69" s="453"/>
      <c r="I69" s="676"/>
      <c r="J69" s="453"/>
      <c r="K69" s="224"/>
      <c r="X69" s="690">
        <v>0</v>
      </c>
    </row>
    <row r="70" spans="1:24" s="1559" customFormat="1" ht="22.5" hidden="1" customHeight="1">
      <c r="A70" s="4142"/>
      <c r="B70" s="445"/>
      <c r="D70" s="677" t="s">
        <v>937</v>
      </c>
      <c r="E70" s="881" t="s">
        <v>1109</v>
      </c>
      <c r="F70" s="655" t="s">
        <v>767</v>
      </c>
      <c r="G70" s="676"/>
      <c r="H70" s="453"/>
      <c r="I70" s="676"/>
      <c r="J70" s="453"/>
      <c r="K70" s="224"/>
      <c r="X70" s="690">
        <v>0</v>
      </c>
    </row>
    <row r="71" spans="1:24" s="1559" customFormat="1" ht="22.5" hidden="1" customHeight="1">
      <c r="A71" s="4142"/>
      <c r="B71" s="445"/>
      <c r="D71" s="599" t="s">
        <v>77</v>
      </c>
      <c r="E71" s="600" t="s">
        <v>1110</v>
      </c>
      <c r="F71" s="594" t="s">
        <v>1070</v>
      </c>
      <c r="G71" s="491"/>
      <c r="H71" s="957"/>
      <c r="I71" s="491"/>
      <c r="J71" s="957"/>
      <c r="K71" s="237"/>
      <c r="X71" s="690">
        <v>0</v>
      </c>
    </row>
    <row r="72" spans="1:24" s="1559" customFormat="1" ht="56.25" hidden="1" customHeight="1">
      <c r="A72" s="4142"/>
      <c r="B72" s="445"/>
      <c r="D72" s="599" t="s">
        <v>78</v>
      </c>
      <c r="E72" s="600" t="s">
        <v>1111</v>
      </c>
      <c r="F72" s="655" t="s">
        <v>767</v>
      </c>
      <c r="G72" s="676"/>
      <c r="H72" s="950"/>
      <c r="I72" s="676"/>
      <c r="J72" s="950"/>
      <c r="K72" s="237"/>
      <c r="X72" s="690">
        <v>0</v>
      </c>
    </row>
    <row r="73" spans="1:24" s="1559" customFormat="1" ht="33.75" hidden="1" customHeight="1">
      <c r="A73" s="4142"/>
      <c r="B73" s="445"/>
      <c r="D73" s="599" t="s">
        <v>115</v>
      </c>
      <c r="E73" s="600" t="s">
        <v>1112</v>
      </c>
      <c r="F73" s="660" t="s">
        <v>1028</v>
      </c>
      <c r="G73" s="602"/>
      <c r="H73" s="950"/>
      <c r="I73" s="602"/>
      <c r="J73" s="950"/>
      <c r="K73" s="224"/>
      <c r="X73" s="690">
        <v>0</v>
      </c>
    </row>
    <row r="74" spans="1:24" s="1559" customFormat="1" ht="22.5" hidden="1" customHeight="1">
      <c r="A74" s="4142"/>
      <c r="B74" s="445" t="s">
        <v>797</v>
      </c>
      <c r="D74" s="599" t="s">
        <v>79</v>
      </c>
      <c r="E74" s="600" t="s">
        <v>1113</v>
      </c>
      <c r="F74" s="660" t="s">
        <v>514</v>
      </c>
      <c r="G74" s="316"/>
      <c r="H74" s="950"/>
      <c r="I74" s="316"/>
      <c r="J74" s="950"/>
      <c r="K74" s="224" t="s">
        <v>840</v>
      </c>
      <c r="X74" s="690">
        <v>0</v>
      </c>
    </row>
    <row r="75" spans="1:24" s="1559" customFormat="1" ht="45" hidden="1" customHeight="1">
      <c r="A75" s="4142"/>
      <c r="B75" s="445" t="s">
        <v>797</v>
      </c>
      <c r="D75" s="599" t="s">
        <v>861</v>
      </c>
      <c r="E75" s="601" t="s">
        <v>1114</v>
      </c>
      <c r="F75" s="655" t="s">
        <v>514</v>
      </c>
      <c r="G75" s="316"/>
      <c r="H75" s="950"/>
      <c r="I75" s="316"/>
      <c r="J75" s="950"/>
      <c r="K75" s="224" t="s">
        <v>840</v>
      </c>
      <c r="X75" s="690">
        <v>0</v>
      </c>
    </row>
    <row r="76" spans="1:24" s="1559" customFormat="1" ht="11.45" customHeight="1">
      <c r="A76" s="960"/>
      <c r="B76" s="452"/>
      <c r="D76" s="961"/>
      <c r="E76" s="962"/>
      <c r="X76" s="443">
        <v>11</v>
      </c>
    </row>
    <row r="77" spans="1:24" s="1559" customFormat="1" ht="11.25" hidden="1" customHeight="1">
      <c r="A77" s="4142" t="s">
        <v>1115</v>
      </c>
      <c r="B77" s="445"/>
      <c r="D77" s="599">
        <v>1</v>
      </c>
      <c r="E77" s="600" t="s">
        <v>1116</v>
      </c>
      <c r="F77" s="655" t="s">
        <v>1018</v>
      </c>
      <c r="G77" s="658"/>
      <c r="H77" s="950"/>
      <c r="I77" s="658"/>
      <c r="J77" s="950"/>
      <c r="K77" s="224" t="s">
        <v>1117</v>
      </c>
      <c r="X77" s="690">
        <v>0</v>
      </c>
    </row>
    <row r="78" spans="1:24" s="1559" customFormat="1" ht="11.25" hidden="1" customHeight="1">
      <c r="A78" s="4142"/>
      <c r="B78" s="445"/>
      <c r="D78" s="599" t="s">
        <v>89</v>
      </c>
      <c r="E78" s="600" t="s">
        <v>1118</v>
      </c>
      <c r="F78" s="655" t="s">
        <v>1018</v>
      </c>
      <c r="G78" s="658"/>
      <c r="H78" s="950"/>
      <c r="I78" s="658"/>
      <c r="J78" s="950"/>
      <c r="K78" s="224" t="s">
        <v>1119</v>
      </c>
      <c r="X78" s="690">
        <v>0</v>
      </c>
    </row>
    <row r="79" spans="1:24" s="1559" customFormat="1" ht="22.5" hidden="1" customHeight="1">
      <c r="A79" s="4142"/>
      <c r="B79" s="445"/>
      <c r="D79" s="599" t="s">
        <v>77</v>
      </c>
      <c r="E79" s="656" t="s">
        <v>1120</v>
      </c>
      <c r="F79" s="594" t="s">
        <v>1067</v>
      </c>
      <c r="G79" s="658"/>
      <c r="H79" s="950"/>
      <c r="I79" s="658"/>
      <c r="J79" s="950"/>
      <c r="K79" s="224" t="s">
        <v>1121</v>
      </c>
      <c r="X79" s="690">
        <v>0</v>
      </c>
    </row>
    <row r="80" spans="1:24" s="1559" customFormat="1" ht="11.25" hidden="1" customHeight="1">
      <c r="A80" s="4142"/>
      <c r="B80" s="445"/>
      <c r="D80" s="599" t="s">
        <v>532</v>
      </c>
      <c r="E80" s="657" t="s">
        <v>1122</v>
      </c>
      <c r="F80" s="594" t="s">
        <v>1067</v>
      </c>
      <c r="G80" s="658"/>
      <c r="H80" s="950"/>
      <c r="I80" s="658"/>
      <c r="J80" s="950"/>
      <c r="K80" s="224"/>
      <c r="X80" s="690">
        <v>0</v>
      </c>
    </row>
    <row r="81" spans="1:24" s="1559" customFormat="1" ht="11.25" hidden="1" customHeight="1">
      <c r="A81" s="4142"/>
      <c r="B81" s="445"/>
      <c r="D81" s="599" t="s">
        <v>540</v>
      </c>
      <c r="E81" s="657" t="s">
        <v>1123</v>
      </c>
      <c r="F81" s="594" t="s">
        <v>1067</v>
      </c>
      <c r="G81" s="658"/>
      <c r="H81" s="950"/>
      <c r="I81" s="658"/>
      <c r="J81" s="950"/>
      <c r="K81" s="224"/>
      <c r="X81" s="690">
        <v>0</v>
      </c>
    </row>
    <row r="82" spans="1:24" s="1559" customFormat="1" ht="11.25" hidden="1" customHeight="1">
      <c r="A82" s="4142"/>
      <c r="B82" s="445"/>
      <c r="D82" s="599" t="s">
        <v>542</v>
      </c>
      <c r="E82" s="657" t="s">
        <v>1124</v>
      </c>
      <c r="F82" s="594" t="s">
        <v>1067</v>
      </c>
      <c r="G82" s="658"/>
      <c r="H82" s="950"/>
      <c r="I82" s="658"/>
      <c r="J82" s="950"/>
      <c r="K82" s="224"/>
      <c r="X82" s="690">
        <v>0</v>
      </c>
    </row>
    <row r="83" spans="1:24" s="1559" customFormat="1" ht="11.25" hidden="1" customHeight="1">
      <c r="A83" s="4142"/>
      <c r="B83" s="445"/>
      <c r="D83" s="599" t="s">
        <v>544</v>
      </c>
      <c r="E83" s="657" t="s">
        <v>1125</v>
      </c>
      <c r="F83" s="594" t="s">
        <v>1067</v>
      </c>
      <c r="G83" s="658"/>
      <c r="H83" s="950"/>
      <c r="I83" s="658"/>
      <c r="J83" s="950"/>
      <c r="K83" s="224"/>
      <c r="X83" s="690">
        <v>0</v>
      </c>
    </row>
    <row r="84" spans="1:24" s="1559" customFormat="1" ht="11.25" hidden="1" customHeight="1">
      <c r="A84" s="4142"/>
      <c r="B84" s="445"/>
      <c r="D84" s="599" t="s">
        <v>1126</v>
      </c>
      <c r="E84" s="657" t="s">
        <v>1127</v>
      </c>
      <c r="F84" s="594" t="s">
        <v>1067</v>
      </c>
      <c r="G84" s="658"/>
      <c r="H84" s="950"/>
      <c r="I84" s="658"/>
      <c r="J84" s="950"/>
      <c r="K84" s="224"/>
      <c r="X84" s="690">
        <v>0</v>
      </c>
    </row>
    <row r="85" spans="1:24" s="1559" customFormat="1" ht="11.25" hidden="1" customHeight="1">
      <c r="A85" s="4142"/>
      <c r="B85" s="445"/>
      <c r="D85" s="599" t="s">
        <v>1128</v>
      </c>
      <c r="E85" s="657" t="s">
        <v>1129</v>
      </c>
      <c r="F85" s="594" t="s">
        <v>1067</v>
      </c>
      <c r="G85" s="658"/>
      <c r="H85" s="950"/>
      <c r="I85" s="658"/>
      <c r="J85" s="950"/>
      <c r="K85" s="224"/>
      <c r="X85" s="690">
        <v>0</v>
      </c>
    </row>
    <row r="86" spans="1:24" s="1559" customFormat="1" ht="11.25" hidden="1" customHeight="1">
      <c r="A86" s="4142"/>
      <c r="B86" s="445"/>
      <c r="D86" s="599" t="s">
        <v>1130</v>
      </c>
      <c r="E86" s="657" t="s">
        <v>1131</v>
      </c>
      <c r="F86" s="594" t="s">
        <v>1067</v>
      </c>
      <c r="G86" s="658"/>
      <c r="H86" s="950"/>
      <c r="I86" s="658"/>
      <c r="J86" s="950"/>
      <c r="K86" s="224"/>
      <c r="X86" s="690">
        <v>0</v>
      </c>
    </row>
    <row r="87" spans="1:24" s="1559" customFormat="1" ht="45" hidden="1" customHeight="1">
      <c r="A87" s="4142"/>
      <c r="B87" s="445"/>
      <c r="D87" s="599" t="s">
        <v>78</v>
      </c>
      <c r="E87" s="600" t="s">
        <v>1132</v>
      </c>
      <c r="F87" s="594" t="s">
        <v>1067</v>
      </c>
      <c r="G87" s="658"/>
      <c r="H87" s="950"/>
      <c r="I87" s="658"/>
      <c r="J87" s="950"/>
      <c r="K87" s="224" t="s">
        <v>1133</v>
      </c>
      <c r="X87" s="690">
        <v>0</v>
      </c>
    </row>
    <row r="88" spans="1:24" s="1559" customFormat="1" ht="11.25" hidden="1" customHeight="1">
      <c r="A88" s="4142"/>
      <c r="B88" s="445"/>
      <c r="D88" s="599" t="s">
        <v>962</v>
      </c>
      <c r="E88" s="657" t="s">
        <v>1122</v>
      </c>
      <c r="F88" s="594" t="s">
        <v>1067</v>
      </c>
      <c r="G88" s="658"/>
      <c r="H88" s="950"/>
      <c r="I88" s="658"/>
      <c r="J88" s="950"/>
      <c r="K88" s="224"/>
      <c r="X88" s="690">
        <v>0</v>
      </c>
    </row>
    <row r="89" spans="1:24" s="1559" customFormat="1" ht="11.25" hidden="1" customHeight="1">
      <c r="A89" s="4142"/>
      <c r="B89" s="445"/>
      <c r="D89" s="599" t="s">
        <v>1004</v>
      </c>
      <c r="E89" s="657" t="s">
        <v>1123</v>
      </c>
      <c r="F89" s="594" t="s">
        <v>1067</v>
      </c>
      <c r="G89" s="658"/>
      <c r="H89" s="950"/>
      <c r="I89" s="658"/>
      <c r="J89" s="950"/>
      <c r="K89" s="224"/>
      <c r="X89" s="690">
        <v>0</v>
      </c>
    </row>
    <row r="90" spans="1:24" s="1559" customFormat="1" ht="11.25" hidden="1" customHeight="1">
      <c r="A90" s="4142"/>
      <c r="B90" s="445"/>
      <c r="D90" s="599" t="s">
        <v>1007</v>
      </c>
      <c r="E90" s="657" t="s">
        <v>1124</v>
      </c>
      <c r="F90" s="594" t="s">
        <v>1067</v>
      </c>
      <c r="G90" s="658"/>
      <c r="H90" s="950"/>
      <c r="I90" s="658"/>
      <c r="J90" s="950"/>
      <c r="K90" s="224"/>
      <c r="X90" s="690">
        <v>0</v>
      </c>
    </row>
    <row r="91" spans="1:24" s="1559" customFormat="1" ht="11.25" hidden="1" customHeight="1">
      <c r="A91" s="4142"/>
      <c r="B91" s="445"/>
      <c r="D91" s="599" t="s">
        <v>1085</v>
      </c>
      <c r="E91" s="657" t="s">
        <v>1125</v>
      </c>
      <c r="F91" s="594" t="s">
        <v>1067</v>
      </c>
      <c r="G91" s="658"/>
      <c r="H91" s="950"/>
      <c r="I91" s="658"/>
      <c r="J91" s="950"/>
      <c r="K91" s="224"/>
      <c r="X91" s="690">
        <v>0</v>
      </c>
    </row>
    <row r="92" spans="1:24" s="1559" customFormat="1" ht="11.25" hidden="1" customHeight="1">
      <c r="A92" s="4142"/>
      <c r="B92" s="445"/>
      <c r="D92" s="599" t="s">
        <v>1087</v>
      </c>
      <c r="E92" s="657" t="s">
        <v>1127</v>
      </c>
      <c r="F92" s="594" t="s">
        <v>1067</v>
      </c>
      <c r="G92" s="658"/>
      <c r="H92" s="950"/>
      <c r="I92" s="658"/>
      <c r="J92" s="950"/>
      <c r="K92" s="224"/>
      <c r="X92" s="690">
        <v>0</v>
      </c>
    </row>
    <row r="93" spans="1:24" s="1559" customFormat="1" ht="11.25" hidden="1" customHeight="1">
      <c r="A93" s="4142"/>
      <c r="B93" s="445"/>
      <c r="D93" s="599" t="s">
        <v>1134</v>
      </c>
      <c r="E93" s="657" t="s">
        <v>1129</v>
      </c>
      <c r="F93" s="594" t="s">
        <v>1067</v>
      </c>
      <c r="G93" s="658"/>
      <c r="H93" s="950"/>
      <c r="I93" s="658"/>
      <c r="J93" s="950"/>
      <c r="K93" s="224"/>
      <c r="X93" s="690">
        <v>0</v>
      </c>
    </row>
    <row r="94" spans="1:24" s="1559" customFormat="1" ht="11.25" hidden="1" customHeight="1">
      <c r="A94" s="4142"/>
      <c r="B94" s="445"/>
      <c r="D94" s="599" t="s">
        <v>1135</v>
      </c>
      <c r="E94" s="657" t="s">
        <v>1131</v>
      </c>
      <c r="F94" s="594" t="s">
        <v>1067</v>
      </c>
      <c r="G94" s="658"/>
      <c r="H94" s="950"/>
      <c r="I94" s="658"/>
      <c r="J94" s="950"/>
      <c r="K94" s="224"/>
      <c r="X94" s="690">
        <v>0</v>
      </c>
    </row>
    <row r="95" spans="1:24" s="1559" customFormat="1" ht="24.75" hidden="1" customHeight="1">
      <c r="A95" s="4142"/>
      <c r="B95" s="445"/>
      <c r="D95" s="599" t="s">
        <v>115</v>
      </c>
      <c r="E95" s="600" t="s">
        <v>1136</v>
      </c>
      <c r="F95" s="659" t="s">
        <v>767</v>
      </c>
      <c r="G95" s="661"/>
      <c r="H95" s="950"/>
      <c r="I95" s="661"/>
      <c r="J95" s="950"/>
      <c r="K95" s="224" t="s">
        <v>1137</v>
      </c>
      <c r="X95" s="690">
        <v>0</v>
      </c>
    </row>
    <row r="96" spans="1:24" s="1559" customFormat="1" ht="33.75" hidden="1" customHeight="1">
      <c r="A96" s="4142"/>
      <c r="B96" s="445"/>
      <c r="D96" s="599" t="s">
        <v>79</v>
      </c>
      <c r="E96" s="600" t="s">
        <v>1138</v>
      </c>
      <c r="F96" s="660" t="s">
        <v>1028</v>
      </c>
      <c r="G96" s="662"/>
      <c r="H96" s="950"/>
      <c r="I96" s="662"/>
      <c r="J96" s="950"/>
      <c r="K96" s="224"/>
      <c r="X96" s="690">
        <v>0</v>
      </c>
    </row>
    <row r="97" spans="1:24" s="1559" customFormat="1" ht="22.5" hidden="1" customHeight="1">
      <c r="A97" s="4142"/>
      <c r="B97" s="445" t="s">
        <v>797</v>
      </c>
      <c r="D97" s="599" t="s">
        <v>80</v>
      </c>
      <c r="E97" s="600" t="s">
        <v>1139</v>
      </c>
      <c r="F97" s="660" t="s">
        <v>514</v>
      </c>
      <c r="G97" s="319"/>
      <c r="H97" s="950"/>
      <c r="I97" s="319"/>
      <c r="J97" s="950"/>
      <c r="K97" s="224" t="s">
        <v>840</v>
      </c>
      <c r="X97" s="690">
        <v>0</v>
      </c>
    </row>
    <row r="98" spans="1:24" s="1559" customFormat="1" ht="45" hidden="1" customHeight="1">
      <c r="A98" s="4142"/>
      <c r="B98" s="445" t="s">
        <v>797</v>
      </c>
      <c r="D98" s="599" t="s">
        <v>1140</v>
      </c>
      <c r="E98" s="601" t="s">
        <v>1141</v>
      </c>
      <c r="F98" s="655" t="s">
        <v>514</v>
      </c>
      <c r="G98" s="319"/>
      <c r="H98" s="950"/>
      <c r="I98" s="319"/>
      <c r="J98" s="950"/>
      <c r="K98" s="224" t="s">
        <v>840</v>
      </c>
      <c r="X98" s="690">
        <v>0</v>
      </c>
    </row>
    <row r="99" spans="1:24" s="1559" customFormat="1" ht="95.25" hidden="1" customHeight="1">
      <c r="A99" s="4142"/>
      <c r="B99" s="445" t="s">
        <v>797</v>
      </c>
      <c r="D99" s="599" t="s">
        <v>134</v>
      </c>
      <c r="E99" s="600" t="s">
        <v>1142</v>
      </c>
      <c r="F99" s="655" t="s">
        <v>514</v>
      </c>
      <c r="G99" s="319"/>
      <c r="H99" s="950"/>
      <c r="I99" s="319"/>
      <c r="J99" s="950"/>
      <c r="K99" s="224" t="s">
        <v>840</v>
      </c>
      <c r="X99" s="690">
        <v>0</v>
      </c>
    </row>
    <row r="100" spans="1:24" s="1559" customFormat="1" ht="22.5" hidden="1" customHeight="1">
      <c r="A100" s="4142"/>
      <c r="B100" s="445" t="s">
        <v>797</v>
      </c>
      <c r="D100" s="599" t="s">
        <v>136</v>
      </c>
      <c r="E100" s="600" t="s">
        <v>1143</v>
      </c>
      <c r="F100" s="655" t="s">
        <v>514</v>
      </c>
      <c r="G100" s="319"/>
      <c r="H100" s="950"/>
      <c r="I100" s="319"/>
      <c r="J100" s="950"/>
      <c r="K100" s="224" t="s">
        <v>840</v>
      </c>
      <c r="X100" s="690">
        <v>0</v>
      </c>
    </row>
    <row r="101" spans="1:24" s="1559" customFormat="1" ht="11.45" customHeight="1">
      <c r="A101" s="960"/>
      <c r="B101" s="452"/>
      <c r="D101" s="961"/>
      <c r="E101" s="962"/>
      <c r="X101" s="443">
        <v>11</v>
      </c>
    </row>
    <row r="102" spans="1:24" ht="22.5" hidden="1" customHeight="1">
      <c r="A102" s="470" t="s">
        <v>69</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6" hidden="1" customWidth="1"/>
    <col min="2" max="2" width="9.140625" style="1559" hidden="1" customWidth="1"/>
    <col min="3" max="3" width="4" style="617" customWidth="1"/>
    <col min="4" max="4" width="6" style="1559" customWidth="1"/>
    <col min="5" max="5" width="36" style="1559" customWidth="1"/>
    <col min="6" max="6" width="9" style="1559" customWidth="1"/>
    <col min="7" max="7" width="25.7109375" style="1559" hidden="1" customWidth="1"/>
    <col min="8" max="8" width="33.7109375" style="1559" hidden="1" customWidth="1"/>
    <col min="9" max="9" width="25.7109375" style="1559" customWidth="1"/>
    <col min="10" max="10" width="33" style="1559" customWidth="1"/>
    <col min="11" max="11" width="93" style="1290" customWidth="1"/>
    <col min="12" max="20" width="10" style="1559" customWidth="1"/>
    <col min="21" max="21" width="10" style="609" customWidth="1"/>
    <col min="22" max="22" width="10.5703125" style="1559" hidden="1"/>
  </cols>
  <sheetData>
    <row r="1" spans="1:22" s="1290" customFormat="1" ht="22.5" hidden="1" customHeight="1">
      <c r="C1" s="606"/>
      <c r="G1" s="351">
        <v>4</v>
      </c>
      <c r="I1" s="351">
        <v>4</v>
      </c>
      <c r="U1" s="354"/>
      <c r="V1" s="351" t="s">
        <v>1</v>
      </c>
    </row>
    <row r="2" spans="1:22" s="1290" customFormat="1" ht="15" hidden="1" customHeight="1">
      <c r="C2" s="606"/>
      <c r="U2" s="354"/>
      <c r="V2" s="351">
        <v>0</v>
      </c>
    </row>
    <row r="3" spans="1:22" ht="22.5" hidden="1" customHeight="1">
      <c r="A3" s="439"/>
      <c r="B3" s="4143"/>
      <c r="C3" s="4144" t="s">
        <v>90</v>
      </c>
      <c r="D3" s="623" t="str">
        <f>B3&amp;".1"</f>
        <v>.1</v>
      </c>
      <c r="E3" s="624" t="s">
        <v>1144</v>
      </c>
      <c r="F3" s="625" t="s">
        <v>514</v>
      </c>
      <c r="G3" s="620"/>
      <c r="H3" s="335"/>
      <c r="I3" s="620"/>
      <c r="J3" s="335"/>
      <c r="K3" s="224" t="s">
        <v>1145</v>
      </c>
      <c r="V3" s="439">
        <v>0</v>
      </c>
    </row>
    <row r="4" spans="1:22" ht="15" hidden="1" customHeight="1">
      <c r="A4" s="439"/>
      <c r="B4" s="4143"/>
      <c r="C4" s="4144"/>
      <c r="D4" s="623" t="str">
        <f>B3&amp;".2"</f>
        <v>.2</v>
      </c>
      <c r="E4" s="624" t="s">
        <v>1146</v>
      </c>
      <c r="F4" s="625" t="s">
        <v>514</v>
      </c>
      <c r="G4" s="1634" t="s">
        <v>15</v>
      </c>
      <c r="H4" s="335"/>
      <c r="I4" s="1634" t="s">
        <v>15</v>
      </c>
      <c r="J4" s="335"/>
      <c r="K4" s="224" t="s">
        <v>1147</v>
      </c>
      <c r="V4" s="439">
        <v>0</v>
      </c>
    </row>
    <row r="5" spans="1:22" s="1290" customFormat="1" ht="15" hidden="1" customHeight="1">
      <c r="C5" s="606"/>
      <c r="U5" s="354"/>
      <c r="V5" s="351">
        <v>0</v>
      </c>
    </row>
    <row r="6" spans="1:22" ht="22.5" hidden="1" customHeight="1">
      <c r="A6" s="439"/>
      <c r="B6" s="4143"/>
      <c r="C6" s="4144" t="s">
        <v>90</v>
      </c>
      <c r="D6" s="623" t="str">
        <f>B6&amp;".1"</f>
        <v>.1</v>
      </c>
      <c r="E6" s="624" t="s">
        <v>1148</v>
      </c>
      <c r="F6" s="625" t="s">
        <v>514</v>
      </c>
      <c r="G6" s="620"/>
      <c r="H6" s="335"/>
      <c r="I6" s="620"/>
      <c r="J6" s="335"/>
      <c r="K6" s="224" t="s">
        <v>1149</v>
      </c>
      <c r="V6" s="439">
        <v>0</v>
      </c>
    </row>
    <row r="7" spans="1:22" ht="15" hidden="1" customHeight="1">
      <c r="A7" s="439"/>
      <c r="B7" s="4143"/>
      <c r="C7" s="4144"/>
      <c r="D7" s="623" t="str">
        <f>B6&amp;".2"</f>
        <v>.2</v>
      </c>
      <c r="E7" s="624" t="s">
        <v>1146</v>
      </c>
      <c r="F7" s="625" t="s">
        <v>514</v>
      </c>
      <c r="G7" s="1634" t="s">
        <v>15</v>
      </c>
      <c r="H7" s="335"/>
      <c r="I7" s="1634" t="s">
        <v>15</v>
      </c>
      <c r="J7" s="335"/>
      <c r="K7" s="224" t="s">
        <v>1147</v>
      </c>
      <c r="V7" s="439">
        <v>0</v>
      </c>
    </row>
    <row r="8" spans="1:22" s="1290" customFormat="1" ht="15" hidden="1" customHeight="1">
      <c r="C8" s="606"/>
      <c r="U8" s="354"/>
      <c r="V8" s="351">
        <v>0</v>
      </c>
    </row>
    <row r="9" spans="1:22" ht="22.5" hidden="1" customHeight="1">
      <c r="A9" s="439"/>
      <c r="B9" s="4143"/>
      <c r="C9" s="4144" t="s">
        <v>90</v>
      </c>
      <c r="D9" s="623" t="str">
        <f>B9&amp;".1"</f>
        <v>.1</v>
      </c>
      <c r="E9" s="624" t="s">
        <v>1150</v>
      </c>
      <c r="F9" s="625" t="s">
        <v>514</v>
      </c>
      <c r="G9" s="631" t="s">
        <v>15</v>
      </c>
      <c r="H9" s="335" t="s">
        <v>15</v>
      </c>
      <c r="I9" s="631" t="s">
        <v>15</v>
      </c>
      <c r="J9" s="335" t="s">
        <v>15</v>
      </c>
      <c r="K9" s="224"/>
      <c r="V9" s="439">
        <v>0</v>
      </c>
    </row>
    <row r="10" spans="1:22" ht="15" hidden="1" customHeight="1">
      <c r="A10" s="439"/>
      <c r="B10" s="4143"/>
      <c r="C10" s="4144"/>
      <c r="D10" s="623" t="str">
        <f>B9&amp;".2"</f>
        <v>.2</v>
      </c>
      <c r="E10" s="624" t="s">
        <v>1151</v>
      </c>
      <c r="F10" s="625" t="s">
        <v>514</v>
      </c>
      <c r="G10" s="1628" t="s">
        <v>15</v>
      </c>
      <c r="H10" s="335" t="s">
        <v>15</v>
      </c>
      <c r="I10" s="1628" t="s">
        <v>15</v>
      </c>
      <c r="J10" s="335" t="s">
        <v>15</v>
      </c>
      <c r="K10" s="224" t="s">
        <v>1152</v>
      </c>
      <c r="V10" s="439">
        <v>0</v>
      </c>
    </row>
    <row r="11" spans="1:22" ht="15" hidden="1" customHeight="1">
      <c r="A11" s="439"/>
      <c r="B11" s="4143"/>
      <c r="C11" s="4144"/>
      <c r="D11" s="623" t="str">
        <f>B9&amp;".3"</f>
        <v>.3</v>
      </c>
      <c r="E11" s="624" t="s">
        <v>1153</v>
      </c>
      <c r="F11" s="625" t="s">
        <v>514</v>
      </c>
      <c r="G11" s="1628" t="s">
        <v>15</v>
      </c>
      <c r="H11" s="335" t="s">
        <v>15</v>
      </c>
      <c r="I11" s="1628" t="s">
        <v>15</v>
      </c>
      <c r="J11" s="335" t="s">
        <v>15</v>
      </c>
      <c r="K11" s="224" t="s">
        <v>1154</v>
      </c>
      <c r="V11" s="439">
        <v>0</v>
      </c>
    </row>
    <row r="12" spans="1:22" s="1290" customFormat="1" ht="15" hidden="1" customHeight="1">
      <c r="C12" s="606"/>
      <c r="U12" s="354"/>
      <c r="V12" s="351">
        <v>0</v>
      </c>
    </row>
    <row r="13" spans="1:22" ht="33.75" hidden="1" customHeight="1">
      <c r="A13" s="439"/>
      <c r="B13" s="4143"/>
      <c r="C13" s="4144" t="s">
        <v>90</v>
      </c>
      <c r="D13" s="623" t="str">
        <f>B13&amp;".1"</f>
        <v>.1</v>
      </c>
      <c r="E13" s="624" t="s">
        <v>1155</v>
      </c>
      <c r="F13" s="625" t="s">
        <v>514</v>
      </c>
      <c r="G13" s="631" t="s">
        <v>15</v>
      </c>
      <c r="H13" s="335" t="s">
        <v>15</v>
      </c>
      <c r="I13" s="631" t="s">
        <v>15</v>
      </c>
      <c r="J13" s="335" t="s">
        <v>15</v>
      </c>
      <c r="K13" s="224" t="s">
        <v>1156</v>
      </c>
      <c r="V13" s="439">
        <v>0</v>
      </c>
    </row>
    <row r="14" spans="1:22" ht="15" hidden="1" customHeight="1">
      <c r="B14" s="4143"/>
      <c r="C14" s="4144"/>
      <c r="D14" s="623" t="str">
        <f>B13&amp;".2"</f>
        <v>.2</v>
      </c>
      <c r="E14" s="624" t="s">
        <v>1157</v>
      </c>
      <c r="F14" s="625" t="s">
        <v>514</v>
      </c>
      <c r="G14" s="1628" t="s">
        <v>15</v>
      </c>
      <c r="H14" s="335" t="s">
        <v>15</v>
      </c>
      <c r="I14" s="1628" t="s">
        <v>15</v>
      </c>
      <c r="J14" s="335" t="s">
        <v>15</v>
      </c>
      <c r="K14" s="224" t="s">
        <v>1158</v>
      </c>
      <c r="V14" s="439">
        <v>0</v>
      </c>
    </row>
    <row r="15" spans="1:22" s="1290" customFormat="1" ht="15" hidden="1" customHeight="1">
      <c r="C15" s="606"/>
      <c r="U15" s="354"/>
      <c r="V15" s="351">
        <v>0</v>
      </c>
    </row>
    <row r="16" spans="1:22" s="1290" customFormat="1" ht="15" hidden="1" customHeight="1">
      <c r="C16" s="606"/>
      <c r="U16" s="354"/>
      <c r="V16" s="351">
        <v>0</v>
      </c>
    </row>
    <row r="17" spans="1:22" s="1290" customFormat="1" ht="15" hidden="1" customHeight="1">
      <c r="C17" s="606"/>
      <c r="U17" s="354"/>
      <c r="V17" s="351">
        <v>0</v>
      </c>
    </row>
    <row r="18" spans="1:22" s="1290" customFormat="1" ht="15" hidden="1" customHeight="1">
      <c r="C18" s="606"/>
      <c r="U18" s="354"/>
      <c r="V18" s="351">
        <v>0</v>
      </c>
    </row>
    <row r="19" spans="1:22" s="1290" customFormat="1" ht="15" hidden="1" customHeight="1">
      <c r="C19" s="606"/>
      <c r="U19" s="354"/>
      <c r="V19" s="351">
        <v>0</v>
      </c>
    </row>
    <row r="20" spans="1:22" s="1290" customFormat="1" ht="15" hidden="1" customHeight="1">
      <c r="C20" s="606"/>
      <c r="U20" s="354"/>
      <c r="V20" s="351">
        <v>0</v>
      </c>
    </row>
    <row r="21" spans="1:22" ht="15.75" customHeight="1">
      <c r="C21" s="111"/>
      <c r="D21" s="443"/>
      <c r="E21" s="443"/>
      <c r="F21" s="443"/>
      <c r="G21" s="443"/>
      <c r="H21" s="443"/>
      <c r="I21" s="443"/>
      <c r="J21" s="443"/>
      <c r="V21" s="439">
        <v>15</v>
      </c>
    </row>
    <row r="22" spans="1:22" ht="23.25" customHeight="1">
      <c r="C22" s="111"/>
      <c r="D22" s="401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4014"/>
      <c r="F22" s="4014"/>
      <c r="G22" s="4014"/>
      <c r="H22" s="4014"/>
      <c r="I22" s="4014"/>
      <c r="J22" s="610"/>
      <c r="K22" s="471"/>
      <c r="V22" s="439">
        <v>22</v>
      </c>
    </row>
    <row r="23" spans="1:22" ht="15.75" customHeight="1">
      <c r="C23" s="111"/>
      <c r="D23" s="3987" t="str">
        <f>IF(org=0,"Не определено",org)</f>
        <v>ООО "Смоленскрегионтеплоэнерго"</v>
      </c>
      <c r="E23" s="3987"/>
      <c r="F23" s="3987"/>
      <c r="G23" s="3987"/>
      <c r="H23" s="3987"/>
      <c r="I23" s="3987"/>
      <c r="J23" s="610"/>
      <c r="K23" s="471"/>
      <c r="V23" s="439">
        <v>15</v>
      </c>
    </row>
    <row r="24" spans="1:22" ht="15.75" customHeight="1">
      <c r="C24" s="111"/>
      <c r="D24" s="443"/>
      <c r="E24" s="443"/>
      <c r="F24" s="443"/>
      <c r="G24" s="471">
        <v>22</v>
      </c>
      <c r="H24" s="686"/>
      <c r="I24" s="471">
        <v>22</v>
      </c>
      <c r="J24" s="686"/>
      <c r="V24" s="439">
        <v>15</v>
      </c>
    </row>
    <row r="25" spans="1:22" s="1559" customFormat="1" ht="1.1499999999999999" customHeight="1">
      <c r="A25" s="691"/>
      <c r="C25" s="111"/>
      <c r="D25" s="443"/>
      <c r="E25" s="443"/>
      <c r="F25" s="443"/>
      <c r="G25" s="471"/>
      <c r="H25" s="686"/>
      <c r="I25" s="471" t="s">
        <v>189</v>
      </c>
      <c r="J25" s="686"/>
      <c r="K25" s="351"/>
      <c r="U25" s="609"/>
      <c r="V25" s="690">
        <v>1</v>
      </c>
    </row>
    <row r="26" spans="1:22" ht="15.75" customHeight="1">
      <c r="C26" s="111"/>
      <c r="D26" s="645"/>
      <c r="E26" s="4120" t="s">
        <v>180</v>
      </c>
      <c r="F26" s="4121"/>
      <c r="G26" s="4145" t="str">
        <f>IF(G25="","",INDEX(DIFFERENTIATION_UNMERGE_VD,MATCH(G25,DIFFERENTIATION_ID_DIFF,0)))</f>
        <v/>
      </c>
      <c r="H26" s="4146"/>
      <c r="I26" s="4145">
        <f>IF(I25="","",INDEX(DIFFERENTIATION_UNMERGE_VD,MATCH(I25,DIFFERENTIATION_ID_DIFF,0)))</f>
        <v>0</v>
      </c>
      <c r="J26" s="4146"/>
      <c r="K26" s="3967" t="s">
        <v>509</v>
      </c>
      <c r="V26" s="439">
        <v>15</v>
      </c>
    </row>
    <row r="27" spans="1:22" s="1559" customFormat="1" ht="15.75" customHeight="1">
      <c r="A27" s="691"/>
      <c r="C27" s="111"/>
      <c r="D27" s="645"/>
      <c r="E27" s="4120" t="s">
        <v>773</v>
      </c>
      <c r="F27" s="4121"/>
      <c r="G27" s="4145" t="str">
        <f>IF(G25="","",INDEX(DIFFERENTIATION_UNMERGE_AREA,MATCH(G25,DIFFERENTIATION_ID_DIFF,0)))</f>
        <v/>
      </c>
      <c r="H27" s="4146"/>
      <c r="I27" s="4145" t="str">
        <f>IF(I25="","",INDEX(DIFFERENTIATION_UNMERGE_AREA,MATCH(I25,DIFFERENTIATION_ID_DIFF,0)))</f>
        <v/>
      </c>
      <c r="J27" s="4146"/>
      <c r="K27" s="3971"/>
      <c r="U27" s="609"/>
      <c r="V27" s="690">
        <v>15</v>
      </c>
    </row>
    <row r="28" spans="1:22" s="1559" customFormat="1" ht="15.75" customHeight="1">
      <c r="A28" s="691"/>
      <c r="C28" s="111"/>
      <c r="D28" s="645"/>
      <c r="E28" s="4120" t="s">
        <v>774</v>
      </c>
      <c r="F28" s="4121"/>
      <c r="G28" s="4145" t="str">
        <f>IF(G25="","",INDEX(DIFFERENTIATION_UNMERGE_SYSTEM,MATCH(G25,DIFFERENTIATION_ID_DIFF,0)))</f>
        <v/>
      </c>
      <c r="H28" s="4146"/>
      <c r="I28" s="4145" t="str">
        <f>IF(I25="","",INDEX(DIFFERENTIATION_UNMERGE_SYSTEM,MATCH(I25,DIFFERENTIATION_ID_DIFF,0)))</f>
        <v>без дифференциации</v>
      </c>
      <c r="J28" s="4146"/>
      <c r="K28" s="3971"/>
      <c r="U28" s="609"/>
      <c r="V28" s="690">
        <v>15</v>
      </c>
    </row>
    <row r="29" spans="1:22" s="1559" customFormat="1" ht="15.75" customHeight="1">
      <c r="A29" s="691"/>
      <c r="C29" s="111"/>
      <c r="D29" s="4122" t="s">
        <v>508</v>
      </c>
      <c r="E29" s="4123"/>
      <c r="F29" s="4123"/>
      <c r="G29" s="814"/>
      <c r="H29" s="814"/>
      <c r="I29" s="814"/>
      <c r="J29" s="815"/>
      <c r="K29" s="3971"/>
      <c r="U29" s="609"/>
      <c r="V29" s="690">
        <v>15</v>
      </c>
    </row>
    <row r="30" spans="1:22" ht="35.65" customHeight="1">
      <c r="C30" s="111"/>
      <c r="D30" s="693" t="s">
        <v>75</v>
      </c>
      <c r="E30" s="692" t="s">
        <v>510</v>
      </c>
      <c r="F30" s="692" t="s">
        <v>775</v>
      </c>
      <c r="G30" s="736" t="s">
        <v>511</v>
      </c>
      <c r="H30" s="735" t="s">
        <v>598</v>
      </c>
      <c r="I30" s="618" t="s">
        <v>511</v>
      </c>
      <c r="J30" s="399" t="s">
        <v>598</v>
      </c>
      <c r="K30" s="3974"/>
      <c r="V30" s="439">
        <v>34</v>
      </c>
    </row>
    <row r="31" spans="1:22" ht="15" hidden="1" customHeight="1">
      <c r="C31" s="111"/>
      <c r="D31" s="527"/>
      <c r="E31" s="527"/>
      <c r="F31" s="527"/>
      <c r="G31" s="593"/>
      <c r="H31" s="593"/>
      <c r="I31" s="593"/>
      <c r="J31" s="593"/>
      <c r="K31" s="224"/>
      <c r="V31" s="439">
        <v>0</v>
      </c>
    </row>
    <row r="32" spans="1:22" ht="24" customHeight="1">
      <c r="A32" s="439"/>
      <c r="B32" s="439" t="s">
        <v>1159</v>
      </c>
      <c r="C32" s="460"/>
      <c r="D32" s="626">
        <v>1</v>
      </c>
      <c r="E32" s="627" t="s">
        <v>1160</v>
      </c>
      <c r="F32" s="625" t="s">
        <v>514</v>
      </c>
      <c r="G32" s="741" t="s">
        <v>514</v>
      </c>
      <c r="H32" s="741" t="s">
        <v>514</v>
      </c>
      <c r="I32" s="625" t="s">
        <v>514</v>
      </c>
      <c r="J32" s="625" t="s">
        <v>514</v>
      </c>
      <c r="K32" s="224"/>
      <c r="V32" s="439">
        <v>23</v>
      </c>
    </row>
    <row r="33" spans="1:22" ht="11.45" customHeight="1">
      <c r="A33" s="439"/>
      <c r="C33" s="439"/>
      <c r="D33" s="282"/>
      <c r="E33" s="514" t="s">
        <v>795</v>
      </c>
      <c r="F33" s="506"/>
      <c r="G33" s="506"/>
      <c r="H33" s="506"/>
      <c r="I33" s="506"/>
      <c r="J33" s="506"/>
      <c r="K33" s="507"/>
      <c r="U33" s="439"/>
      <c r="V33" s="439">
        <v>11</v>
      </c>
    </row>
    <row r="34" spans="1:22" ht="24" customHeight="1">
      <c r="A34" s="439"/>
      <c r="B34" s="515" t="s">
        <v>845</v>
      </c>
      <c r="C34" s="460"/>
      <c r="D34" s="626">
        <v>2</v>
      </c>
      <c r="E34" s="627" t="s">
        <v>1161</v>
      </c>
      <c r="F34" s="748" t="s">
        <v>514</v>
      </c>
      <c r="G34" s="748" t="s">
        <v>514</v>
      </c>
      <c r="H34" s="748" t="s">
        <v>514</v>
      </c>
      <c r="I34" s="625"/>
      <c r="J34" s="625"/>
      <c r="K34" s="224"/>
      <c r="V34" s="439">
        <v>23</v>
      </c>
    </row>
    <row r="35" spans="1:22" ht="11.45" customHeight="1">
      <c r="A35" s="439"/>
      <c r="C35" s="439"/>
      <c r="D35" s="282"/>
      <c r="E35" s="514" t="s">
        <v>1162</v>
      </c>
      <c r="F35" s="506"/>
      <c r="G35" s="628"/>
      <c r="H35" s="506"/>
      <c r="I35" s="628"/>
      <c r="J35" s="506"/>
      <c r="K35" s="507"/>
      <c r="U35" s="439"/>
      <c r="V35" s="439">
        <v>11</v>
      </c>
    </row>
    <row r="36" spans="1:22" ht="71.25" customHeight="1">
      <c r="A36" s="439"/>
      <c r="B36" s="439" t="s">
        <v>1163</v>
      </c>
      <c r="C36" s="460"/>
      <c r="D36" s="626">
        <v>3</v>
      </c>
      <c r="E36" s="627" t="s">
        <v>1164</v>
      </c>
      <c r="F36" s="629" t="s">
        <v>514</v>
      </c>
      <c r="G36" s="742" t="s">
        <v>1165</v>
      </c>
      <c r="H36" s="741" t="s">
        <v>514</v>
      </c>
      <c r="I36" s="458" t="s">
        <v>1165</v>
      </c>
      <c r="J36" s="625" t="s">
        <v>514</v>
      </c>
      <c r="K36" s="224" t="s">
        <v>1166</v>
      </c>
      <c r="V36" s="439">
        <v>68</v>
      </c>
    </row>
    <row r="37" spans="1:22" ht="11.45" customHeight="1">
      <c r="A37" s="439"/>
      <c r="C37" s="439"/>
      <c r="D37" s="282"/>
      <c r="E37" s="514" t="s">
        <v>1167</v>
      </c>
      <c r="F37" s="506"/>
      <c r="G37" s="628"/>
      <c r="H37" s="628"/>
      <c r="I37" s="628"/>
      <c r="J37" s="628"/>
      <c r="K37" s="507"/>
      <c r="U37" s="439"/>
      <c r="V37" s="439">
        <v>11</v>
      </c>
    </row>
    <row r="38" spans="1:22" ht="71.25" customHeight="1">
      <c r="A38" s="439"/>
      <c r="B38" s="439" t="s">
        <v>1168</v>
      </c>
      <c r="C38" s="460"/>
      <c r="D38" s="626">
        <v>4</v>
      </c>
      <c r="E38" s="627" t="s">
        <v>1169</v>
      </c>
      <c r="F38" s="629" t="s">
        <v>514</v>
      </c>
      <c r="G38" s="742" t="s">
        <v>1165</v>
      </c>
      <c r="H38" s="743" t="s">
        <v>514</v>
      </c>
      <c r="I38" s="458" t="s">
        <v>1165</v>
      </c>
      <c r="J38" s="455" t="s">
        <v>514</v>
      </c>
      <c r="K38" s="613" t="s">
        <v>1170</v>
      </c>
      <c r="V38" s="439">
        <v>68</v>
      </c>
    </row>
    <row r="39" spans="1:22" ht="11.45" customHeight="1">
      <c r="A39" s="439"/>
      <c r="C39" s="439"/>
      <c r="D39" s="282"/>
      <c r="E39" s="514" t="s">
        <v>1171</v>
      </c>
      <c r="F39" s="506"/>
      <c r="G39" s="506"/>
      <c r="H39" s="630"/>
      <c r="I39" s="506"/>
      <c r="J39" s="630"/>
      <c r="K39" s="507"/>
      <c r="U39" s="439"/>
      <c r="V39" s="439">
        <v>11</v>
      </c>
    </row>
    <row r="40" spans="1:22" ht="22.5" hidden="1" customHeight="1">
      <c r="A40" s="383" t="s">
        <v>69</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246"/>
  <sheetViews>
    <sheetView showGridLines="0" zoomScale="90" workbookViewId="0">
      <pane xSplit="6" ySplit="12" topLeftCell="K111" activePane="bottomRight" state="frozen"/>
      <selection pane="topRight" activeCell="G1" sqref="G1"/>
      <selection pane="bottomLeft" activeCell="A13" sqref="A13"/>
      <selection pane="bottomRight" activeCell="S122" sqref="S122:S123"/>
    </sheetView>
  </sheetViews>
  <sheetFormatPr defaultColWidth="9.140625" defaultRowHeight="11.25" customHeight="1"/>
  <cols>
    <col min="1" max="2" width="3.7109375" style="1548" hidden="1" customWidth="1"/>
    <col min="3" max="3" width="3" style="1748" customWidth="1"/>
    <col min="4" max="4" width="6" style="1748" customWidth="1"/>
    <col min="5" max="5" width="42" style="1748" customWidth="1"/>
    <col min="6" max="6" width="14" style="1748" customWidth="1"/>
    <col min="7" max="7" width="42" style="1748" customWidth="1"/>
    <col min="8" max="8" width="3" style="1748" customWidth="1"/>
    <col min="9" max="9" width="5" style="1748" customWidth="1"/>
    <col min="10" max="10" width="47" style="1748" customWidth="1"/>
    <col min="11" max="12" width="3" style="1748" customWidth="1"/>
    <col min="13" max="13" width="5" style="1748" customWidth="1"/>
    <col min="14" max="14" width="28" style="1748" customWidth="1"/>
    <col min="15" max="16" width="3" style="1748" customWidth="1"/>
    <col min="17" max="17" width="5" style="1748" customWidth="1"/>
    <col min="18" max="18" width="34" style="1748" customWidth="1"/>
    <col min="19" max="20" width="3.7109375" style="1748" customWidth="1"/>
    <col min="21" max="21" width="5.7109375" style="1748" customWidth="1"/>
    <col min="22" max="22" width="10" style="1748" customWidth="1"/>
    <col min="23" max="23" width="30" style="1748" customWidth="1"/>
    <col min="24" max="24" width="3" style="1748"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24.425781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48" hidden="1"/>
  </cols>
  <sheetData>
    <row r="1" spans="1:44" ht="11.25" hidden="1" customHeight="1">
      <c r="A1" s="91"/>
      <c r="AR1" s="43" t="s">
        <v>1</v>
      </c>
    </row>
    <row r="2" spans="1:44" ht="11.25" hidden="1" customHeight="1">
      <c r="AR2" s="43">
        <v>0</v>
      </c>
    </row>
    <row r="3" spans="1:44" ht="11.25" hidden="1" customHeight="1">
      <c r="AR3" s="43">
        <v>0</v>
      </c>
    </row>
    <row r="4" spans="1:44" ht="3" customHeight="1">
      <c r="AR4" s="43">
        <v>3</v>
      </c>
    </row>
    <row r="5" spans="1:44" s="523" customFormat="1" ht="30.4" customHeight="1">
      <c r="A5" s="89"/>
      <c r="B5" s="89"/>
      <c r="D5" s="394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945"/>
      <c r="F5" s="3945"/>
      <c r="G5" s="3945"/>
      <c r="H5" s="3945"/>
      <c r="I5" s="3945"/>
      <c r="J5" s="3946"/>
      <c r="K5" s="200"/>
      <c r="L5" s="79"/>
      <c r="M5" s="79"/>
      <c r="N5" s="79"/>
      <c r="O5" s="79"/>
      <c r="P5" s="79"/>
      <c r="Q5" s="79"/>
      <c r="R5" s="79"/>
      <c r="S5" s="225"/>
      <c r="T5" s="225"/>
      <c r="U5" s="225"/>
      <c r="V5" s="225"/>
      <c r="W5" s="79"/>
      <c r="Y5" s="1184"/>
      <c r="Z5" s="1184"/>
      <c r="AA5" s="1184"/>
      <c r="AB5" s="1184"/>
      <c r="AC5" s="1184"/>
      <c r="AD5" s="1184"/>
      <c r="AE5" s="1184"/>
      <c r="AF5" s="1184"/>
      <c r="AG5" s="1184"/>
      <c r="AH5" s="1184"/>
      <c r="AI5" s="1184"/>
      <c r="AJ5" s="1184"/>
      <c r="AK5" s="1184"/>
      <c r="AL5" s="1184"/>
      <c r="AM5" s="1184"/>
      <c r="AN5" s="1184"/>
      <c r="AO5" s="1184"/>
      <c r="AP5" s="1184"/>
      <c r="AQ5" s="1184"/>
      <c r="AR5" s="49">
        <v>29</v>
      </c>
    </row>
    <row r="6" spans="1:44" s="523" customFormat="1" ht="14.65" customHeight="1">
      <c r="A6" s="519"/>
      <c r="B6" s="519"/>
      <c r="C6" s="519"/>
      <c r="D6" s="3950" t="str">
        <f>IF(org=0,"Не определено",org)</f>
        <v>ООО "Смоленскрегионтеплоэнерго"</v>
      </c>
      <c r="E6" s="3950"/>
      <c r="F6" s="3950"/>
      <c r="G6" s="3950"/>
      <c r="H6" s="3950"/>
      <c r="I6" s="3950"/>
      <c r="J6" s="3950"/>
      <c r="K6" s="520"/>
      <c r="L6" s="520"/>
      <c r="M6" s="520"/>
      <c r="N6" s="520"/>
      <c r="O6" s="798"/>
      <c r="P6" s="798"/>
      <c r="Q6" s="798"/>
      <c r="R6" s="798"/>
      <c r="S6" s="798"/>
      <c r="T6" s="798"/>
      <c r="U6" s="798"/>
      <c r="V6" s="798"/>
      <c r="W6" s="798"/>
      <c r="X6" s="520"/>
      <c r="Y6" s="1185"/>
      <c r="Z6" s="1185"/>
      <c r="AA6" s="1185"/>
      <c r="AB6" s="1185"/>
      <c r="AC6" s="1185"/>
      <c r="AD6" s="1185"/>
      <c r="AE6" s="1185"/>
      <c r="AF6" s="1185"/>
      <c r="AG6" s="1185"/>
      <c r="AH6" s="1185"/>
      <c r="AI6" s="1185"/>
      <c r="AJ6" s="1185"/>
      <c r="AK6" s="1185"/>
      <c r="AL6" s="1185"/>
      <c r="AM6" s="1185"/>
      <c r="AN6" s="1185"/>
      <c r="AO6" s="1185"/>
      <c r="AP6" s="1185"/>
      <c r="AQ6" s="1185"/>
      <c r="AR6" s="521">
        <v>14</v>
      </c>
    </row>
    <row r="7" spans="1:44" s="234" customFormat="1" ht="11.45" customHeight="1">
      <c r="A7" s="146"/>
      <c r="B7" s="146"/>
      <c r="D7" s="3947"/>
      <c r="E7" s="3948"/>
      <c r="F7" s="3948"/>
      <c r="G7" s="3948"/>
      <c r="H7" s="3948"/>
      <c r="I7" s="3948"/>
      <c r="J7" s="3949"/>
      <c r="Y7" s="1186"/>
      <c r="Z7" s="1186"/>
      <c r="AA7" s="1186"/>
      <c r="AB7" s="1186"/>
      <c r="AC7" s="1186"/>
      <c r="AD7" s="1186"/>
      <c r="AE7" s="1186"/>
      <c r="AF7" s="1186"/>
      <c r="AG7" s="1186"/>
      <c r="AH7" s="1186"/>
      <c r="AI7" s="1186"/>
      <c r="AJ7" s="1186"/>
      <c r="AK7" s="1186"/>
      <c r="AL7" s="1186"/>
      <c r="AM7" s="1186"/>
      <c r="AN7" s="1186"/>
      <c r="AO7" s="1186"/>
      <c r="AP7" s="1186"/>
      <c r="AQ7" s="1186"/>
      <c r="AR7" s="211">
        <v>11</v>
      </c>
    </row>
    <row r="8" spans="1:44" s="523" customFormat="1" ht="1.1499999999999999" customHeight="1">
      <c r="A8" s="89"/>
      <c r="B8" s="89"/>
      <c r="D8" s="147"/>
      <c r="E8" s="147"/>
      <c r="F8" s="147"/>
      <c r="G8" s="147"/>
      <c r="H8" s="147"/>
      <c r="I8" s="147"/>
      <c r="J8" s="147"/>
      <c r="K8" s="147"/>
      <c r="L8" s="147"/>
      <c r="M8" s="147"/>
      <c r="N8" s="147"/>
      <c r="O8" s="147"/>
      <c r="P8" s="147"/>
      <c r="Q8" s="147"/>
      <c r="R8" s="147"/>
      <c r="S8" s="147"/>
      <c r="T8" s="147"/>
      <c r="U8" s="147"/>
      <c r="V8" s="147"/>
      <c r="W8" s="147"/>
      <c r="X8" s="69"/>
      <c r="Y8" s="1184"/>
      <c r="Z8" s="1184"/>
      <c r="AA8" s="1184"/>
      <c r="AB8" s="1184"/>
      <c r="AC8" s="1184"/>
      <c r="AD8" s="1184"/>
      <c r="AE8" s="1184"/>
      <c r="AF8" s="1184"/>
      <c r="AG8" s="1184"/>
      <c r="AH8" s="1184"/>
      <c r="AI8" s="1184"/>
      <c r="AJ8" s="1184"/>
      <c r="AK8" s="1184"/>
      <c r="AL8" s="1184"/>
      <c r="AM8" s="1184"/>
      <c r="AN8" s="1184"/>
      <c r="AO8" s="1184"/>
      <c r="AP8" s="1184"/>
      <c r="AQ8" s="1184"/>
      <c r="AR8" s="49">
        <v>1</v>
      </c>
    </row>
    <row r="9" spans="1:44" ht="28.5" customHeight="1">
      <c r="D9" s="3889" t="s">
        <v>75</v>
      </c>
      <c r="E9" s="3870" t="s">
        <v>194</v>
      </c>
      <c r="F9" s="3869"/>
      <c r="G9" s="3889" t="s">
        <v>180</v>
      </c>
      <c r="H9" s="3889" t="s">
        <v>75</v>
      </c>
      <c r="I9" s="3889"/>
      <c r="J9" s="3889" t="s">
        <v>195</v>
      </c>
      <c r="K9" s="3951" t="s">
        <v>196</v>
      </c>
      <c r="L9" s="3951"/>
      <c r="M9" s="3951"/>
      <c r="N9" s="3951"/>
      <c r="O9" s="3951" t="s">
        <v>197</v>
      </c>
      <c r="P9" s="3951"/>
      <c r="Q9" s="3951"/>
      <c r="R9" s="3951"/>
      <c r="S9" s="3951" t="s">
        <v>198</v>
      </c>
      <c r="T9" s="3951"/>
      <c r="U9" s="3951"/>
      <c r="V9" s="3951"/>
      <c r="W9" s="3889" t="s">
        <v>199</v>
      </c>
      <c r="AR9" s="43">
        <v>27</v>
      </c>
    </row>
    <row r="10" spans="1:44" ht="31.5" customHeight="1">
      <c r="D10" s="3889"/>
      <c r="E10" s="1208" t="s">
        <v>76</v>
      </c>
      <c r="F10" s="1208" t="s">
        <v>200</v>
      </c>
      <c r="G10" s="3889"/>
      <c r="H10" s="3889"/>
      <c r="I10" s="3889"/>
      <c r="J10" s="3889"/>
      <c r="K10" s="48" t="s">
        <v>183</v>
      </c>
      <c r="L10" s="3889" t="s">
        <v>75</v>
      </c>
      <c r="M10" s="3889"/>
      <c r="N10" s="48" t="s">
        <v>201</v>
      </c>
      <c r="O10" s="48" t="s">
        <v>183</v>
      </c>
      <c r="P10" s="3889" t="s">
        <v>75</v>
      </c>
      <c r="Q10" s="3889"/>
      <c r="R10" s="48" t="s">
        <v>201</v>
      </c>
      <c r="S10" s="218" t="s">
        <v>183</v>
      </c>
      <c r="T10" s="3889" t="s">
        <v>75</v>
      </c>
      <c r="U10" s="3889"/>
      <c r="V10" s="218" t="s">
        <v>76</v>
      </c>
      <c r="W10" s="3889"/>
      <c r="Z10" s="1183" t="s">
        <v>202</v>
      </c>
      <c r="AA10" s="1183" t="s">
        <v>203</v>
      </c>
      <c r="AB10" s="1183" t="s">
        <v>204</v>
      </c>
      <c r="AC10" s="1183" t="s">
        <v>205</v>
      </c>
      <c r="AD10" s="1183" t="s">
        <v>206</v>
      </c>
      <c r="AE10" s="1183" t="s">
        <v>207</v>
      </c>
      <c r="AF10" s="1183" t="s">
        <v>208</v>
      </c>
      <c r="AG10" s="1183" t="s">
        <v>209</v>
      </c>
      <c r="AH10" s="1183" t="s">
        <v>210</v>
      </c>
      <c r="AI10" s="1183" t="s">
        <v>211</v>
      </c>
      <c r="AJ10" s="1183" t="s">
        <v>212</v>
      </c>
      <c r="AK10" s="1183" t="s">
        <v>213</v>
      </c>
      <c r="AL10" s="1183" t="s">
        <v>214</v>
      </c>
      <c r="AM10" s="1183" t="s">
        <v>215</v>
      </c>
      <c r="AN10" s="1183" t="s">
        <v>216</v>
      </c>
      <c r="AO10" s="1183" t="s">
        <v>217</v>
      </c>
      <c r="AP10" s="1183" t="s">
        <v>218</v>
      </c>
      <c r="AQ10" s="1183" t="s">
        <v>219</v>
      </c>
      <c r="AR10" s="43">
        <v>30</v>
      </c>
    </row>
    <row r="11" spans="1:44" s="1548" customFormat="1" ht="12" hidden="1" customHeight="1">
      <c r="D11" s="1173" t="s">
        <v>184</v>
      </c>
      <c r="E11" s="1173" t="s">
        <v>89</v>
      </c>
      <c r="F11" s="1173"/>
      <c r="G11" s="1173" t="s">
        <v>77</v>
      </c>
      <c r="H11" s="3943" t="s">
        <v>115</v>
      </c>
      <c r="I11" s="3943"/>
      <c r="J11" s="1173" t="s">
        <v>79</v>
      </c>
      <c r="K11" s="1173" t="s">
        <v>80</v>
      </c>
      <c r="L11" s="3943" t="s">
        <v>134</v>
      </c>
      <c r="M11" s="3943"/>
      <c r="N11" s="1173" t="s">
        <v>136</v>
      </c>
      <c r="O11" s="1173" t="s">
        <v>141</v>
      </c>
      <c r="P11" s="3943" t="s">
        <v>146</v>
      </c>
      <c r="Q11" s="3943"/>
      <c r="R11" s="1173" t="s">
        <v>151</v>
      </c>
      <c r="S11" s="1173" t="s">
        <v>146</v>
      </c>
      <c r="T11" s="3943" t="s">
        <v>151</v>
      </c>
      <c r="U11" s="3943"/>
      <c r="V11" s="1173" t="s">
        <v>153</v>
      </c>
      <c r="W11" s="1173" t="s">
        <v>155</v>
      </c>
      <c r="Y11" s="1183"/>
      <c r="Z11" s="1183"/>
      <c r="AA11" s="1183"/>
      <c r="AB11" s="1183"/>
      <c r="AC11" s="1183"/>
      <c r="AD11" s="1183"/>
      <c r="AE11" s="1183"/>
      <c r="AF11" s="1183"/>
      <c r="AG11" s="1183"/>
      <c r="AH11" s="1183"/>
      <c r="AI11" s="1183"/>
      <c r="AJ11" s="1183"/>
      <c r="AK11" s="1183"/>
      <c r="AL11" s="1183"/>
      <c r="AM11" s="1183"/>
      <c r="AN11" s="1183"/>
      <c r="AO11" s="1183"/>
      <c r="AP11" s="1183"/>
      <c r="AQ11" s="1183"/>
      <c r="AR11" s="212">
        <v>0</v>
      </c>
    </row>
    <row r="12" spans="1:44" ht="14.25" hidden="1" customHeight="1">
      <c r="C12" s="144"/>
      <c r="D12" s="1206">
        <v>0</v>
      </c>
      <c r="E12" s="185"/>
      <c r="F12" s="185"/>
      <c r="G12" s="185"/>
      <c r="H12" s="186"/>
      <c r="I12" s="186"/>
      <c r="J12" s="93"/>
      <c r="K12" s="50"/>
      <c r="L12" s="93"/>
      <c r="M12" s="93"/>
      <c r="N12" s="187"/>
      <c r="O12" s="50"/>
      <c r="P12" s="93"/>
      <c r="Q12" s="93"/>
      <c r="R12" s="188"/>
      <c r="S12" s="219"/>
      <c r="T12" s="227"/>
      <c r="U12" s="227"/>
      <c r="V12" s="231"/>
      <c r="W12" s="50"/>
      <c r="X12" s="78"/>
      <c r="AR12" s="43">
        <v>0</v>
      </c>
    </row>
    <row r="13" spans="1:44" s="1748" customFormat="1" ht="17.25" customHeight="1">
      <c r="A13" s="256"/>
      <c r="C13" s="144"/>
      <c r="D13" s="3922">
        <v>1</v>
      </c>
      <c r="E13" s="3911" t="s">
        <v>220</v>
      </c>
      <c r="F13" s="3924" t="s">
        <v>6</v>
      </c>
      <c r="G13" s="3911"/>
      <c r="H13" s="3913"/>
      <c r="I13" s="3915"/>
      <c r="J13" s="3917"/>
      <c r="K13" s="3909"/>
      <c r="L13" s="3909"/>
      <c r="M13" s="3909"/>
      <c r="N13" s="3920"/>
      <c r="O13" s="3909"/>
      <c r="P13" s="3909"/>
      <c r="Q13" s="3909"/>
      <c r="R13" s="3907"/>
      <c r="S13" s="3909"/>
      <c r="T13" s="1344"/>
      <c r="U13" s="1344"/>
      <c r="V13" s="1343"/>
      <c r="W13" s="1220"/>
      <c r="Y13" s="1191"/>
      <c r="Z13" s="1191"/>
      <c r="AA13" s="1191"/>
      <c r="AB13" s="1191"/>
      <c r="AC13" s="1191" t="s">
        <v>221</v>
      </c>
      <c r="AD13" s="1191" t="s">
        <v>222</v>
      </c>
      <c r="AE13" s="1191" t="s">
        <v>223</v>
      </c>
      <c r="AF13" s="1191" t="s">
        <v>224</v>
      </c>
      <c r="AG13" s="1191" t="s">
        <v>225</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c r="AR13" s="684">
        <v>0</v>
      </c>
    </row>
    <row r="14" spans="1:44" s="1748" customFormat="1" ht="17.25" customHeight="1">
      <c r="A14" s="256"/>
      <c r="C14" s="255"/>
      <c r="D14" s="3922"/>
      <c r="E14" s="3911"/>
      <c r="F14" s="3925"/>
      <c r="G14" s="3911"/>
      <c r="H14" s="3914"/>
      <c r="I14" s="3916"/>
      <c r="J14" s="3918"/>
      <c r="K14" s="3910"/>
      <c r="L14" s="3910"/>
      <c r="M14" s="3910"/>
      <c r="N14" s="3921"/>
      <c r="O14" s="3910"/>
      <c r="P14" s="3910"/>
      <c r="Q14" s="3910"/>
      <c r="R14" s="3908"/>
      <c r="S14" s="3910"/>
      <c r="T14" s="1221"/>
      <c r="U14" s="1221"/>
      <c r="V14" s="1221"/>
      <c r="W14" s="1222"/>
      <c r="Y14" s="1183"/>
      <c r="Z14" s="1183"/>
      <c r="AA14" s="1183"/>
      <c r="AB14" s="1183"/>
      <c r="AC14" s="1183"/>
      <c r="AD14" s="1183"/>
      <c r="AE14" s="1183"/>
      <c r="AF14" s="1183"/>
      <c r="AG14" s="1183"/>
      <c r="AH14" s="1183"/>
      <c r="AI14" s="1183"/>
      <c r="AJ14" s="1183"/>
      <c r="AK14" s="1183"/>
      <c r="AL14" s="1183"/>
      <c r="AM14" s="1183"/>
      <c r="AN14" s="1183"/>
      <c r="AO14" s="1183"/>
      <c r="AP14" s="1183"/>
      <c r="AQ14" s="1183"/>
      <c r="AR14" s="684">
        <v>0</v>
      </c>
    </row>
    <row r="15" spans="1:44" s="1748" customFormat="1" ht="17.25" customHeight="1">
      <c r="A15" s="256"/>
      <c r="C15" s="144"/>
      <c r="D15" s="3922"/>
      <c r="E15" s="3911"/>
      <c r="F15" s="3925"/>
      <c r="G15" s="3911"/>
      <c r="H15" s="3914"/>
      <c r="I15" s="3916"/>
      <c r="J15" s="3919"/>
      <c r="K15" s="3910"/>
      <c r="L15" s="3910"/>
      <c r="M15" s="3910"/>
      <c r="N15" s="3908"/>
      <c r="O15" s="3910"/>
      <c r="P15" s="1342"/>
      <c r="Q15" s="1221"/>
      <c r="R15" s="1221"/>
      <c r="S15" s="264"/>
      <c r="T15" s="264"/>
      <c r="U15" s="264"/>
      <c r="V15" s="264"/>
      <c r="W15" s="1222"/>
      <c r="Y15" s="1191"/>
      <c r="Z15" s="1191"/>
      <c r="AA15" s="1191"/>
      <c r="AB15" s="1191"/>
      <c r="AC15" s="1191"/>
      <c r="AD15" s="1191"/>
      <c r="AE15" s="1191"/>
      <c r="AF15" s="1191"/>
      <c r="AG15" s="1191"/>
      <c r="AH15" s="1191"/>
      <c r="AI15" s="1191"/>
      <c r="AJ15" s="1191"/>
      <c r="AK15" s="1191"/>
      <c r="AL15" s="1191"/>
      <c r="AM15" s="1191"/>
      <c r="AN15" s="1191"/>
      <c r="AO15" s="1191"/>
      <c r="AP15" s="1191"/>
      <c r="AQ15" s="1191"/>
      <c r="AR15" s="1341">
        <v>0</v>
      </c>
    </row>
    <row r="16" spans="1:44" s="1748" customFormat="1" ht="17.25" customHeight="1">
      <c r="A16" s="256"/>
      <c r="C16" s="255"/>
      <c r="D16" s="3922"/>
      <c r="E16" s="3911"/>
      <c r="F16" s="3925"/>
      <c r="G16" s="3911"/>
      <c r="H16" s="3914"/>
      <c r="I16" s="3916"/>
      <c r="J16" s="3919"/>
      <c r="K16" s="3910"/>
      <c r="L16" s="1221"/>
      <c r="M16" s="1221"/>
      <c r="N16" s="1221"/>
      <c r="O16" s="1221"/>
      <c r="P16" s="1221"/>
      <c r="Q16" s="1221"/>
      <c r="R16" s="1221"/>
      <c r="S16" s="264"/>
      <c r="T16" s="264"/>
      <c r="U16" s="264"/>
      <c r="V16" s="264"/>
      <c r="W16" s="1222"/>
      <c r="Y16" s="1183"/>
      <c r="Z16" s="1183"/>
      <c r="AA16" s="1183"/>
      <c r="AB16" s="1183"/>
      <c r="AC16" s="1183"/>
      <c r="AD16" s="1183"/>
      <c r="AE16" s="1183"/>
      <c r="AF16" s="1183"/>
      <c r="AG16" s="1183"/>
      <c r="AH16" s="1183"/>
      <c r="AI16" s="1183"/>
      <c r="AJ16" s="1183"/>
      <c r="AK16" s="1183"/>
      <c r="AL16" s="1183"/>
      <c r="AM16" s="1183"/>
      <c r="AN16" s="1183"/>
      <c r="AO16" s="1183"/>
      <c r="AP16" s="1183"/>
      <c r="AQ16" s="1183"/>
      <c r="AR16" s="1341">
        <v>0</v>
      </c>
    </row>
    <row r="17" spans="1:44" s="1748" customFormat="1" ht="17.25" customHeight="1">
      <c r="A17" s="256"/>
      <c r="C17" s="255"/>
      <c r="D17" s="3923"/>
      <c r="E17" s="3912"/>
      <c r="F17" s="3926"/>
      <c r="G17" s="3912"/>
      <c r="H17" s="1223"/>
      <c r="I17" s="1224"/>
      <c r="J17" s="1224"/>
      <c r="K17" s="1224"/>
      <c r="L17" s="1224"/>
      <c r="M17" s="1224"/>
      <c r="N17" s="1224"/>
      <c r="O17" s="1224"/>
      <c r="P17" s="1224"/>
      <c r="Q17" s="1224"/>
      <c r="R17" s="1224"/>
      <c r="S17" s="1225"/>
      <c r="T17" s="1225"/>
      <c r="U17" s="1225"/>
      <c r="V17" s="1225"/>
      <c r="W17" s="1226"/>
      <c r="Y17" s="1183"/>
      <c r="Z17" s="1183"/>
      <c r="AA17" s="1183"/>
      <c r="AB17" s="1183"/>
      <c r="AC17" s="1183"/>
      <c r="AD17" s="1183"/>
      <c r="AE17" s="1183"/>
      <c r="AF17" s="1183"/>
      <c r="AG17" s="1183"/>
      <c r="AH17" s="1183"/>
      <c r="AI17" s="1183"/>
      <c r="AJ17" s="1183"/>
      <c r="AK17" s="1183"/>
      <c r="AL17" s="1183"/>
      <c r="AM17" s="1183"/>
      <c r="AN17" s="1183"/>
      <c r="AO17" s="1183"/>
      <c r="AP17" s="1183"/>
      <c r="AQ17" s="1183"/>
      <c r="AR17" s="684">
        <v>0</v>
      </c>
    </row>
    <row r="18" spans="1:44" s="1748" customFormat="1" ht="17.25" customHeight="1">
      <c r="A18" s="256"/>
      <c r="C18" s="144"/>
      <c r="D18" s="3922">
        <v>2</v>
      </c>
      <c r="E18" s="3939" t="s">
        <v>226</v>
      </c>
      <c r="F18" s="3924" t="s">
        <v>53</v>
      </c>
      <c r="G18" s="3930"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3961"/>
      <c r="I18" s="3961">
        <v>1</v>
      </c>
      <c r="J18" s="3958" t="s">
        <v>227</v>
      </c>
      <c r="K18" s="3952" t="s">
        <v>53</v>
      </c>
      <c r="L18" s="3900"/>
      <c r="M18" s="3900" t="s">
        <v>184</v>
      </c>
      <c r="N18" s="3956" t="str">
        <f>IF($Z$18="","",INDEX(TERRITORY_MR_LIST,MATCH($Z$18,TERRITORY_LIST_ID,0)))</f>
        <v>Территория 1</v>
      </c>
      <c r="O18" s="3952" t="s">
        <v>53</v>
      </c>
      <c r="P18" s="3900"/>
      <c r="Q18" s="3900" t="s">
        <v>184</v>
      </c>
      <c r="R18" s="3954" t="s">
        <v>228</v>
      </c>
      <c r="S18" s="3899" t="s">
        <v>6</v>
      </c>
      <c r="T18" s="1969"/>
      <c r="U18" s="1969" t="s">
        <v>184</v>
      </c>
      <c r="V18" s="1993" t="s">
        <v>15</v>
      </c>
      <c r="W18" s="1977"/>
      <c r="X18" s="1191"/>
      <c r="Y18" s="1191"/>
      <c r="Z18" s="1191" t="s">
        <v>85</v>
      </c>
      <c r="AA18" s="1191"/>
      <c r="AB18" s="1191" t="s">
        <v>229</v>
      </c>
      <c r="AC18" s="1191" t="s">
        <v>230</v>
      </c>
      <c r="AD18" s="1191" t="s">
        <v>231</v>
      </c>
      <c r="AE18" s="1191" t="s">
        <v>232</v>
      </c>
      <c r="AF18" s="1191" t="s">
        <v>233</v>
      </c>
      <c r="AG18" s="1191" t="s">
        <v>234</v>
      </c>
      <c r="AH18"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1" t="str">
        <f>IF($G$18=0,"",$G$18)</f>
        <v>Производство тепловой энергии. Некомбинированная выработка; Передача. Тепловая энергия; Сбыт. Тепловая энергия</v>
      </c>
      <c r="AJ18" s="1191" t="str">
        <f>IF($J$18=0,"",$J$18)</f>
        <v>Тариф на тепловую энергию (мощность), поставляемую потребителям</v>
      </c>
      <c r="AK18" s="1191" t="str">
        <f>IF($K$18="нет","без дифференциации",IF($N$18=0,"",$N$18))</f>
        <v>Территория 1</v>
      </c>
      <c r="AL18" s="1191" t="str">
        <f>IF($O$18="нет","без дифференциации",IF($R$18=0,"",$R$18))</f>
        <v>котельная г. Вязьма, ул. Московская</v>
      </c>
      <c r="AM18" s="1191" t="str">
        <f>IF($S$18="нет","без дифференциации",IF($V$18=0,"",$V$18))</f>
        <v>без дифференциации</v>
      </c>
      <c r="AN18" s="1668">
        <f>$I$18</f>
        <v>1</v>
      </c>
      <c r="AO18" s="1191" t="str">
        <f>$I$18&amp;"."&amp;$M$18</f>
        <v>1.1</v>
      </c>
      <c r="AP18" s="1183" t="str">
        <f>$I$18&amp;"."&amp;$M$18&amp;"."&amp;$Q$18</f>
        <v>1.1.1</v>
      </c>
      <c r="AQ18" s="1183" t="str">
        <f>$I$18&amp;"."&amp;$M$18&amp;"."&amp;$Q$18&amp;"."&amp;$U$18</f>
        <v>1.1.1.1</v>
      </c>
      <c r="AR18" s="1207">
        <v>0</v>
      </c>
    </row>
    <row r="19" spans="1:44" s="1748" customFormat="1" ht="17.25" customHeight="1">
      <c r="A19" s="256"/>
      <c r="C19" s="255"/>
      <c r="D19" s="3922"/>
      <c r="E19" s="3939"/>
      <c r="F19" s="3925"/>
      <c r="G19" s="3930"/>
      <c r="H19" s="3961"/>
      <c r="I19" s="3961"/>
      <c r="J19" s="3958"/>
      <c r="K19" s="3953"/>
      <c r="L19" s="3900"/>
      <c r="M19" s="3900"/>
      <c r="N19" s="3956" t="str">
        <f>IF($Z$18="","",INDEX(TERRITORY_MR_LIST,MATCH($Z$18,TERRITORY_LIST_ID,0)))</f>
        <v>Территория 1</v>
      </c>
      <c r="O19" s="3953"/>
      <c r="P19" s="3900"/>
      <c r="Q19" s="3900"/>
      <c r="R19" s="3954"/>
      <c r="S19" s="3899"/>
      <c r="T19" s="1994"/>
      <c r="U19" s="1995"/>
      <c r="V19" s="1996" t="s">
        <v>235</v>
      </c>
      <c r="W19" s="1997"/>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207">
        <v>0</v>
      </c>
    </row>
    <row r="20" spans="1:44" s="1748" customFormat="1" ht="17.25" customHeight="1">
      <c r="A20" s="256"/>
      <c r="C20" s="255"/>
      <c r="D20" s="3923"/>
      <c r="E20" s="3940"/>
      <c r="F20" s="3925"/>
      <c r="G20" s="3931"/>
      <c r="H20" s="3923"/>
      <c r="I20" s="3923"/>
      <c r="J20" s="3959"/>
      <c r="K20" s="3953"/>
      <c r="L20" s="3923"/>
      <c r="M20" s="3923"/>
      <c r="N20" s="3957" t="str">
        <f>IF($Z$18="","",INDEX(TERRITORY_MR_LIST,MATCH($Z$18,TERRITORY_LIST_ID,0)))</f>
        <v>Территория 1</v>
      </c>
      <c r="O20" s="3904"/>
      <c r="P20" s="1998"/>
      <c r="Q20" s="1999"/>
      <c r="R20" s="2000" t="s">
        <v>236</v>
      </c>
      <c r="S20" s="2001"/>
      <c r="T20" s="2002"/>
      <c r="U20" s="2003"/>
      <c r="V20" s="2004"/>
      <c r="W20" s="2005"/>
      <c r="X20" s="1183"/>
      <c r="Y20" s="1183"/>
      <c r="Z20" s="1183"/>
      <c r="AA20" s="1183"/>
      <c r="AB20" s="1183"/>
      <c r="AC20" s="1183"/>
      <c r="AD20" s="1183"/>
      <c r="AE20" s="1183"/>
      <c r="AF20" s="1183"/>
      <c r="AG20" s="1183"/>
      <c r="AH20" s="1183"/>
      <c r="AI20" s="1183"/>
      <c r="AJ20" s="1183"/>
      <c r="AK20" s="1183"/>
      <c r="AL20" s="1183"/>
      <c r="AM20" s="1183"/>
      <c r="AN20" s="1183"/>
      <c r="AO20" s="1183"/>
      <c r="AP20" s="1183"/>
      <c r="AQ20" s="1183"/>
      <c r="AR20" s="1207">
        <v>0</v>
      </c>
    </row>
    <row r="21" spans="1:44" ht="17.25" customHeight="1">
      <c r="A21" s="1735"/>
      <c r="B21" s="1748"/>
      <c r="C21" s="1737"/>
      <c r="D21" s="3938"/>
      <c r="E21" s="3941"/>
      <c r="F21" s="3925"/>
      <c r="G21" s="3942"/>
      <c r="H21" s="3938"/>
      <c r="I21" s="3938"/>
      <c r="J21" s="3960"/>
      <c r="K21" s="3955"/>
      <c r="L21" s="3900" t="s">
        <v>90</v>
      </c>
      <c r="M21" s="3900" t="s">
        <v>89</v>
      </c>
      <c r="N21" s="3962" t="str">
        <f>IF(Z21="","",INDEX(TERRITORY_MR_LIST,MATCH(Z21,TERRITORY_LIST_ID,0)))</f>
        <v>Территория 2</v>
      </c>
      <c r="O21" s="3952" t="s">
        <v>53</v>
      </c>
      <c r="P21" s="3900"/>
      <c r="Q21" s="3900" t="s">
        <v>184</v>
      </c>
      <c r="R21" s="3954" t="s">
        <v>237</v>
      </c>
      <c r="S21" s="3899" t="s">
        <v>6</v>
      </c>
      <c r="T21" s="1707"/>
      <c r="U21" s="1707" t="s">
        <v>184</v>
      </c>
      <c r="V21" s="2006" t="s">
        <v>15</v>
      </c>
      <c r="W21" s="1697"/>
      <c r="Y21" s="1191"/>
      <c r="Z21" s="1191" t="s">
        <v>91</v>
      </c>
      <c r="AA21" s="1191"/>
      <c r="AB21" s="1191"/>
      <c r="AC21" s="1866" t="s">
        <v>230</v>
      </c>
      <c r="AD21" s="1866" t="s">
        <v>231</v>
      </c>
      <c r="AE21" s="1191" t="s">
        <v>238</v>
      </c>
      <c r="AF21" s="1191" t="s">
        <v>239</v>
      </c>
      <c r="AG21" s="1191" t="s">
        <v>240</v>
      </c>
      <c r="AH21"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1" s="1191" t="str">
        <f>IF($G$18=0,"",$G$18)</f>
        <v>Производство тепловой энергии. Некомбинированная выработка; Передача. Тепловая энергия; Сбыт. Тепловая энергия</v>
      </c>
      <c r="AJ21" s="1191" t="str">
        <f>IF($J$18=0,"",$J$18)</f>
        <v>Тариф на тепловую энергию (мощность), поставляемую потребителям</v>
      </c>
      <c r="AK21" s="1191" t="str">
        <f>IF($K$21="нет","без дифференциации",IF($N$21=0,"",$N$21))</f>
        <v>Территория 2</v>
      </c>
      <c r="AL21" s="1739" t="str">
        <f>IF($O$21="нет","без дифференциации",IF($R$21=0,"",$R$21))</f>
        <v>Вяземский филиал</v>
      </c>
      <c r="AM21" s="1739" t="str">
        <f>IF($S$21="нет","без дифференциации",IF($V$21=0,"",$V$21))</f>
        <v>без дифференциации</v>
      </c>
      <c r="AN21" s="1191">
        <f>$I$18</f>
        <v>1</v>
      </c>
      <c r="AO21" s="1191" t="str">
        <f>$I$18&amp;"."&amp;$M$21</f>
        <v>1.2</v>
      </c>
      <c r="AP21" s="1191" t="str">
        <f>$I$18&amp;"."&amp;$M$21&amp;"."&amp;$Q$21</f>
        <v>1.2.1</v>
      </c>
      <c r="AQ21" s="1191" t="str">
        <f>$I$18&amp;"."&amp;$M$21&amp;"."&amp;$Q$21&amp;"."&amp;$U$21</f>
        <v>1.2.1.1</v>
      </c>
    </row>
    <row r="22" spans="1:44" ht="17.25" customHeight="1">
      <c r="A22" s="1735"/>
      <c r="B22" s="1748"/>
      <c r="C22" s="1740"/>
      <c r="D22" s="3938"/>
      <c r="E22" s="3941"/>
      <c r="F22" s="3925"/>
      <c r="G22" s="3942"/>
      <c r="H22" s="3938"/>
      <c r="I22" s="3938"/>
      <c r="J22" s="3960"/>
      <c r="K22" s="3955"/>
      <c r="L22" s="3900"/>
      <c r="M22" s="3900"/>
      <c r="N22" s="3962"/>
      <c r="O22" s="3953"/>
      <c r="P22" s="3900"/>
      <c r="Q22" s="3900"/>
      <c r="R22" s="3954"/>
      <c r="S22" s="3899"/>
      <c r="T22" s="252"/>
      <c r="U22" s="253"/>
      <c r="V22" s="253" t="s">
        <v>235</v>
      </c>
      <c r="W22" s="254"/>
      <c r="Y22" s="1183"/>
      <c r="Z22" s="1183"/>
      <c r="AA22" s="1183"/>
      <c r="AB22" s="1183"/>
      <c r="AC22" s="1183"/>
      <c r="AD22" s="1183"/>
      <c r="AE22" s="1183"/>
      <c r="AF22" s="1183"/>
      <c r="AG22" s="1183"/>
      <c r="AH22" s="1183"/>
      <c r="AI22" s="1183"/>
      <c r="AJ22" s="1183"/>
      <c r="AK22" s="1183"/>
      <c r="AL22" s="1748"/>
      <c r="AM22" s="1748"/>
      <c r="AN22" s="1748"/>
      <c r="AO22" s="1748"/>
      <c r="AP22" s="1748"/>
      <c r="AQ22" s="1748"/>
    </row>
    <row r="23" spans="1:44" ht="17.25" customHeight="1">
      <c r="A23" s="1735"/>
      <c r="B23" s="1748"/>
      <c r="C23" s="1740"/>
      <c r="D23" s="3938"/>
      <c r="E23" s="3941"/>
      <c r="F23" s="3925"/>
      <c r="G23" s="3942"/>
      <c r="H23" s="3938"/>
      <c r="I23" s="3938"/>
      <c r="J23" s="3960"/>
      <c r="K23" s="3955"/>
      <c r="L23" s="3923"/>
      <c r="M23" s="3923"/>
      <c r="N23" s="3963"/>
      <c r="O23" s="3904"/>
      <c r="P23" s="252"/>
      <c r="Q23" s="253"/>
      <c r="R23" s="253" t="s">
        <v>236</v>
      </c>
      <c r="S23" s="1741"/>
      <c r="T23" s="1741"/>
      <c r="U23" s="1741"/>
      <c r="V23" s="1741"/>
      <c r="W23" s="254"/>
      <c r="Y23" s="1183"/>
      <c r="Z23" s="1183"/>
      <c r="AA23" s="1183"/>
      <c r="AB23" s="1183"/>
      <c r="AC23" s="1183"/>
      <c r="AD23" s="1183"/>
      <c r="AE23" s="1183"/>
      <c r="AF23" s="1183"/>
      <c r="AG23" s="1183"/>
      <c r="AH23" s="1183"/>
      <c r="AI23" s="1183"/>
      <c r="AJ23" s="1183"/>
      <c r="AK23" s="1183"/>
      <c r="AL23" s="1748"/>
      <c r="AM23" s="1748"/>
      <c r="AN23" s="1748"/>
      <c r="AO23" s="1748"/>
      <c r="AP23" s="1748"/>
      <c r="AQ23" s="1748"/>
    </row>
    <row r="24" spans="1:44" ht="17.25" customHeight="1">
      <c r="A24" s="1735"/>
      <c r="B24" s="1748"/>
      <c r="C24" s="1737"/>
      <c r="D24" s="3938"/>
      <c r="E24" s="3941"/>
      <c r="F24" s="3925"/>
      <c r="G24" s="3942"/>
      <c r="H24" s="3938"/>
      <c r="I24" s="3938"/>
      <c r="J24" s="3960"/>
      <c r="K24" s="3955"/>
      <c r="L24" s="3900" t="s">
        <v>90</v>
      </c>
      <c r="M24" s="3900" t="s">
        <v>77</v>
      </c>
      <c r="N24" s="3962" t="str">
        <f>IF(Z24="","",INDEX(TERRITORY_MR_LIST,MATCH(Z24,TERRITORY_LIST_ID,0)))</f>
        <v>Территория 3</v>
      </c>
      <c r="O24" s="3952" t="s">
        <v>53</v>
      </c>
      <c r="P24" s="3900"/>
      <c r="Q24" s="3900" t="s">
        <v>184</v>
      </c>
      <c r="R24" s="3954" t="s">
        <v>241</v>
      </c>
      <c r="S24" s="3899" t="s">
        <v>6</v>
      </c>
      <c r="T24" s="1707"/>
      <c r="U24" s="1707" t="s">
        <v>184</v>
      </c>
      <c r="V24" s="2006" t="s">
        <v>15</v>
      </c>
      <c r="W24" s="1697"/>
      <c r="Y24" s="1191"/>
      <c r="Z24" s="1191" t="s">
        <v>101</v>
      </c>
      <c r="AA24" s="1191"/>
      <c r="AB24" s="1191"/>
      <c r="AC24" s="1866" t="s">
        <v>230</v>
      </c>
      <c r="AD24" s="1866" t="s">
        <v>231</v>
      </c>
      <c r="AE24" s="1191" t="s">
        <v>242</v>
      </c>
      <c r="AF24" s="1191" t="s">
        <v>243</v>
      </c>
      <c r="AG24" s="1191" t="s">
        <v>244</v>
      </c>
      <c r="AH24"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4" s="1191" t="str">
        <f>IF($G$18=0,"",$G$18)</f>
        <v>Производство тепловой энергии. Некомбинированная выработка; Передача. Тепловая энергия; Сбыт. Тепловая энергия</v>
      </c>
      <c r="AJ24" s="1191" t="str">
        <f>IF($J$18=0,"",$J$18)</f>
        <v>Тариф на тепловую энергию (мощность), поставляемую потребителям</v>
      </c>
      <c r="AK24" s="1191" t="str">
        <f>IF($K$24="нет","без дифференциации",IF($N$24=0,"",$N$24))</f>
        <v>Территория 3</v>
      </c>
      <c r="AL24" s="1739" t="str">
        <f>IF($O$24="нет","без дифференциации",IF($R$24=0,"",$R$24))</f>
        <v>Рославльский филиал</v>
      </c>
      <c r="AM24" s="1739" t="str">
        <f>IF($S$24="нет","без дифференциации",IF($V$24=0,"",$V$24))</f>
        <v>без дифференциации</v>
      </c>
      <c r="AN24" s="1191">
        <f>$I$18</f>
        <v>1</v>
      </c>
      <c r="AO24" s="1191" t="str">
        <f>$I$18&amp;"."&amp;$M$24</f>
        <v>1.3</v>
      </c>
      <c r="AP24" s="1191" t="str">
        <f>$I$18&amp;"."&amp;$M$24&amp;"."&amp;$Q$24</f>
        <v>1.3.1</v>
      </c>
      <c r="AQ24" s="1191" t="str">
        <f>$I$18&amp;"."&amp;$M$24&amp;"."&amp;$Q$24&amp;"."&amp;$U$24</f>
        <v>1.3.1.1</v>
      </c>
    </row>
    <row r="25" spans="1:44" ht="17.25" customHeight="1">
      <c r="A25" s="1735"/>
      <c r="B25" s="1748"/>
      <c r="C25" s="1740"/>
      <c r="D25" s="3938"/>
      <c r="E25" s="3941"/>
      <c r="F25" s="3925"/>
      <c r="G25" s="3942"/>
      <c r="H25" s="3938"/>
      <c r="I25" s="3938"/>
      <c r="J25" s="3960"/>
      <c r="K25" s="3955"/>
      <c r="L25" s="3900"/>
      <c r="M25" s="3900"/>
      <c r="N25" s="3962"/>
      <c r="O25" s="3953"/>
      <c r="P25" s="3900"/>
      <c r="Q25" s="3900"/>
      <c r="R25" s="3954"/>
      <c r="S25" s="3899"/>
      <c r="T25" s="252"/>
      <c r="U25" s="253"/>
      <c r="V25" s="253" t="s">
        <v>235</v>
      </c>
      <c r="W25" s="254"/>
      <c r="Y25" s="1183"/>
      <c r="Z25" s="1183"/>
      <c r="AA25" s="1183"/>
      <c r="AB25" s="1183"/>
      <c r="AC25" s="1183"/>
      <c r="AD25" s="1183"/>
      <c r="AE25" s="1183"/>
      <c r="AF25" s="1183"/>
      <c r="AG25" s="1183"/>
      <c r="AH25" s="1183"/>
      <c r="AI25" s="1183"/>
      <c r="AJ25" s="1183"/>
      <c r="AK25" s="1183"/>
      <c r="AL25" s="1748"/>
      <c r="AM25" s="1748"/>
      <c r="AN25" s="1748"/>
      <c r="AO25" s="1748"/>
      <c r="AP25" s="1748"/>
      <c r="AQ25" s="1748"/>
    </row>
    <row r="26" spans="1:44" ht="17.25" customHeight="1">
      <c r="A26" s="1735"/>
      <c r="B26" s="1748"/>
      <c r="C26" s="1740"/>
      <c r="D26" s="3938"/>
      <c r="E26" s="3941"/>
      <c r="F26" s="3925"/>
      <c r="G26" s="3942"/>
      <c r="H26" s="3938"/>
      <c r="I26" s="3938"/>
      <c r="J26" s="3960"/>
      <c r="K26" s="3955"/>
      <c r="L26" s="3923"/>
      <c r="M26" s="3923"/>
      <c r="N26" s="3963"/>
      <c r="O26" s="3904"/>
      <c r="P26" s="252"/>
      <c r="Q26" s="253"/>
      <c r="R26" s="253" t="s">
        <v>236</v>
      </c>
      <c r="S26" s="1741"/>
      <c r="T26" s="1741"/>
      <c r="U26" s="1741"/>
      <c r="V26" s="1741"/>
      <c r="W26" s="254"/>
      <c r="Y26" s="1183"/>
      <c r="Z26" s="1183"/>
      <c r="AA26" s="1183"/>
      <c r="AB26" s="1183"/>
      <c r="AC26" s="1183"/>
      <c r="AD26" s="1183"/>
      <c r="AE26" s="1183"/>
      <c r="AF26" s="1183"/>
      <c r="AG26" s="1183"/>
      <c r="AH26" s="1183"/>
      <c r="AI26" s="1183"/>
      <c r="AJ26" s="1183"/>
      <c r="AK26" s="1183"/>
      <c r="AL26" s="1748"/>
      <c r="AM26" s="1748"/>
      <c r="AN26" s="1748"/>
      <c r="AO26" s="1748"/>
      <c r="AP26" s="1748"/>
      <c r="AQ26" s="1748"/>
    </row>
    <row r="27" spans="1:44" ht="17.25" customHeight="1">
      <c r="A27" s="1735"/>
      <c r="B27" s="1748"/>
      <c r="C27" s="1737"/>
      <c r="D27" s="3938"/>
      <c r="E27" s="3941"/>
      <c r="F27" s="3925"/>
      <c r="G27" s="3942"/>
      <c r="H27" s="3938"/>
      <c r="I27" s="3938"/>
      <c r="J27" s="3960"/>
      <c r="K27" s="3955"/>
      <c r="L27" s="3900" t="s">
        <v>90</v>
      </c>
      <c r="M27" s="3900" t="s">
        <v>78</v>
      </c>
      <c r="N27" s="3962" t="str">
        <f>IF(Z27="","",INDEX(TERRITORY_MR_LIST,MATCH(Z27,TERRITORY_LIST_ID,0)))</f>
        <v>Территория 4</v>
      </c>
      <c r="O27" s="3952" t="s">
        <v>53</v>
      </c>
      <c r="P27" s="3900"/>
      <c r="Q27" s="3900" t="s">
        <v>184</v>
      </c>
      <c r="R27" s="3954" t="s">
        <v>245</v>
      </c>
      <c r="S27" s="3899" t="s">
        <v>6</v>
      </c>
      <c r="T27" s="1707"/>
      <c r="U27" s="1707" t="s">
        <v>184</v>
      </c>
      <c r="V27" s="2006" t="s">
        <v>15</v>
      </c>
      <c r="W27" s="1697"/>
      <c r="Y27" s="1191"/>
      <c r="Z27" s="1191" t="s">
        <v>114</v>
      </c>
      <c r="AA27" s="1191"/>
      <c r="AB27" s="1191"/>
      <c r="AC27" s="1866" t="s">
        <v>230</v>
      </c>
      <c r="AD27" s="1866" t="s">
        <v>231</v>
      </c>
      <c r="AE27" s="1191" t="s">
        <v>246</v>
      </c>
      <c r="AF27" s="1191" t="s">
        <v>247</v>
      </c>
      <c r="AG27" s="1191" t="s">
        <v>248</v>
      </c>
      <c r="AH27"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7" s="1191" t="str">
        <f>IF($G$18=0,"",$G$18)</f>
        <v>Производство тепловой энергии. Некомбинированная выработка; Передача. Тепловая энергия; Сбыт. Тепловая энергия</v>
      </c>
      <c r="AJ27" s="1191" t="str">
        <f>IF($J$18=0,"",$J$18)</f>
        <v>Тариф на тепловую энергию (мощность), поставляемую потребителям</v>
      </c>
      <c r="AK27" s="1191" t="str">
        <f>IF($K$27="нет","без дифференциации",IF($N$27=0,"",$N$27))</f>
        <v>Территория 4</v>
      </c>
      <c r="AL27" s="1739" t="str">
        <f>IF($O$27="нет","без дифференциации",IF($R$27=0,"",$R$27))</f>
        <v>котельная г. Рославль ул. Мичурина</v>
      </c>
      <c r="AM27" s="1739" t="str">
        <f>IF($S$27="нет","без дифференциации",IF($V$27=0,"",$V$27))</f>
        <v>без дифференциации</v>
      </c>
      <c r="AN27" s="1191">
        <f>$I$18</f>
        <v>1</v>
      </c>
      <c r="AO27" s="1191" t="str">
        <f>$I$18&amp;"."&amp;$M$27</f>
        <v>1.4</v>
      </c>
      <c r="AP27" s="1191" t="str">
        <f>$I$18&amp;"."&amp;$M$27&amp;"."&amp;$Q$27</f>
        <v>1.4.1</v>
      </c>
      <c r="AQ27" s="1191" t="str">
        <f>$I$18&amp;"."&amp;$M$27&amp;"."&amp;$Q$27&amp;"."&amp;$U$27</f>
        <v>1.4.1.1</v>
      </c>
    </row>
    <row r="28" spans="1:44" ht="17.25" customHeight="1">
      <c r="A28" s="1735"/>
      <c r="B28" s="1748"/>
      <c r="C28" s="1740"/>
      <c r="D28" s="3938"/>
      <c r="E28" s="3941"/>
      <c r="F28" s="3925"/>
      <c r="G28" s="3942"/>
      <c r="H28" s="3938"/>
      <c r="I28" s="3938"/>
      <c r="J28" s="3960"/>
      <c r="K28" s="3955"/>
      <c r="L28" s="3900"/>
      <c r="M28" s="3900"/>
      <c r="N28" s="3962"/>
      <c r="O28" s="3953"/>
      <c r="P28" s="3900"/>
      <c r="Q28" s="3900"/>
      <c r="R28" s="3954"/>
      <c r="S28" s="3899"/>
      <c r="T28" s="252"/>
      <c r="U28" s="253"/>
      <c r="V28" s="253" t="s">
        <v>235</v>
      </c>
      <c r="W28" s="254"/>
      <c r="Y28" s="1183"/>
      <c r="Z28" s="1183"/>
      <c r="AA28" s="1183"/>
      <c r="AB28" s="1183"/>
      <c r="AC28" s="1183"/>
      <c r="AD28" s="1183"/>
      <c r="AE28" s="1183"/>
      <c r="AF28" s="1183"/>
      <c r="AG28" s="1183"/>
      <c r="AH28" s="1183"/>
      <c r="AI28" s="1183"/>
      <c r="AJ28" s="1183"/>
      <c r="AK28" s="1183"/>
      <c r="AL28" s="1748"/>
      <c r="AM28" s="1748"/>
      <c r="AN28" s="1748"/>
      <c r="AO28" s="1748"/>
      <c r="AP28" s="1748"/>
      <c r="AQ28" s="1748"/>
    </row>
    <row r="29" spans="1:44" ht="17.25" customHeight="1">
      <c r="A29" s="1735"/>
      <c r="B29" s="1748"/>
      <c r="C29" s="1740"/>
      <c r="D29" s="3938"/>
      <c r="E29" s="3941"/>
      <c r="F29" s="3925"/>
      <c r="G29" s="3942"/>
      <c r="H29" s="3938"/>
      <c r="I29" s="3938"/>
      <c r="J29" s="3960"/>
      <c r="K29" s="3955"/>
      <c r="L29" s="3923"/>
      <c r="M29" s="3923"/>
      <c r="N29" s="3963"/>
      <c r="O29" s="3904"/>
      <c r="P29" s="252"/>
      <c r="Q29" s="253"/>
      <c r="R29" s="253" t="s">
        <v>236</v>
      </c>
      <c r="S29" s="1741"/>
      <c r="T29" s="1741"/>
      <c r="U29" s="1741"/>
      <c r="V29" s="1741"/>
      <c r="W29" s="254"/>
      <c r="Y29" s="1183"/>
      <c r="Z29" s="1183"/>
      <c r="AA29" s="1183"/>
      <c r="AB29" s="1183"/>
      <c r="AC29" s="1183"/>
      <c r="AD29" s="1183"/>
      <c r="AE29" s="1183"/>
      <c r="AF29" s="1183"/>
      <c r="AG29" s="1183"/>
      <c r="AH29" s="1183"/>
      <c r="AI29" s="1183"/>
      <c r="AJ29" s="1183"/>
      <c r="AK29" s="1183"/>
      <c r="AL29" s="1748"/>
      <c r="AM29" s="1748"/>
      <c r="AN29" s="1748"/>
      <c r="AO29" s="1748"/>
      <c r="AP29" s="1748"/>
      <c r="AQ29" s="1748"/>
    </row>
    <row r="30" spans="1:44" ht="17.25" customHeight="1">
      <c r="A30" s="1735"/>
      <c r="B30" s="1748"/>
      <c r="C30" s="1737"/>
      <c r="D30" s="3938"/>
      <c r="E30" s="3941"/>
      <c r="F30" s="3925"/>
      <c r="G30" s="3942"/>
      <c r="H30" s="3938"/>
      <c r="I30" s="3938"/>
      <c r="J30" s="3960"/>
      <c r="K30" s="3955"/>
      <c r="L30" s="3900" t="s">
        <v>90</v>
      </c>
      <c r="M30" s="3900" t="s">
        <v>115</v>
      </c>
      <c r="N30" s="3962" t="str">
        <f>IF(Z30="","",INDEX(TERRITORY_MR_LIST,MATCH(Z30,TERRITORY_LIST_ID,0)))</f>
        <v>Территория 5</v>
      </c>
      <c r="O30" s="3952" t="s">
        <v>53</v>
      </c>
      <c r="P30" s="3900"/>
      <c r="Q30" s="3900" t="s">
        <v>184</v>
      </c>
      <c r="R30" s="3954" t="s">
        <v>249</v>
      </c>
      <c r="S30" s="3899" t="s">
        <v>6</v>
      </c>
      <c r="T30" s="1707"/>
      <c r="U30" s="1707" t="s">
        <v>184</v>
      </c>
      <c r="V30" s="2006" t="s">
        <v>15</v>
      </c>
      <c r="W30" s="1697"/>
      <c r="Y30" s="1191"/>
      <c r="Z30" s="1191" t="s">
        <v>116</v>
      </c>
      <c r="AA30" s="1191"/>
      <c r="AB30" s="1191"/>
      <c r="AC30" s="1866" t="s">
        <v>230</v>
      </c>
      <c r="AD30" s="1866" t="s">
        <v>231</v>
      </c>
      <c r="AE30" s="1191" t="s">
        <v>250</v>
      </c>
      <c r="AF30" s="1191" t="s">
        <v>251</v>
      </c>
      <c r="AG30" s="1191" t="s">
        <v>252</v>
      </c>
      <c r="AH30"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0" s="1191" t="str">
        <f>IF($G$18=0,"",$G$18)</f>
        <v>Производство тепловой энергии. Некомбинированная выработка; Передача. Тепловая энергия; Сбыт. Тепловая энергия</v>
      </c>
      <c r="AJ30" s="1191" t="str">
        <f>IF($J$18=0,"",$J$18)</f>
        <v>Тариф на тепловую энергию (мощность), поставляемую потребителям</v>
      </c>
      <c r="AK30" s="1191" t="str">
        <f>IF($K$30="нет","без дифференциации",IF($N$30=0,"",$N$30))</f>
        <v>Территория 5</v>
      </c>
      <c r="AL30" s="1739" t="str">
        <f>IF($O$30="нет","без дифференциации",IF($R$30=0,"",$R$30))</f>
        <v>Сафоновский филиал</v>
      </c>
      <c r="AM30" s="1739" t="str">
        <f>IF($S$30="нет","без дифференциации",IF($V$30=0,"",$V$30))</f>
        <v>без дифференциации</v>
      </c>
      <c r="AN30" s="1191">
        <f>$I$18</f>
        <v>1</v>
      </c>
      <c r="AO30" s="1191" t="str">
        <f>$I$18&amp;"."&amp;$M$30</f>
        <v>1.5</v>
      </c>
      <c r="AP30" s="1191" t="str">
        <f>$I$18&amp;"."&amp;$M$30&amp;"."&amp;$Q$30</f>
        <v>1.5.1</v>
      </c>
      <c r="AQ30" s="1191" t="str">
        <f>$I$18&amp;"."&amp;$M$30&amp;"."&amp;$Q$30&amp;"."&amp;$U$30</f>
        <v>1.5.1.1</v>
      </c>
    </row>
    <row r="31" spans="1:44" ht="17.25" customHeight="1">
      <c r="A31" s="1735"/>
      <c r="B31" s="1748"/>
      <c r="C31" s="1740"/>
      <c r="D31" s="3938"/>
      <c r="E31" s="3941"/>
      <c r="F31" s="3925"/>
      <c r="G31" s="3942"/>
      <c r="H31" s="3938"/>
      <c r="I31" s="3938"/>
      <c r="J31" s="3960"/>
      <c r="K31" s="3955"/>
      <c r="L31" s="3900"/>
      <c r="M31" s="3900"/>
      <c r="N31" s="3962"/>
      <c r="O31" s="3953"/>
      <c r="P31" s="3900"/>
      <c r="Q31" s="3900"/>
      <c r="R31" s="3954"/>
      <c r="S31" s="3899"/>
      <c r="T31" s="252"/>
      <c r="U31" s="253"/>
      <c r="V31" s="253" t="s">
        <v>235</v>
      </c>
      <c r="W31" s="254"/>
      <c r="Y31" s="1183"/>
      <c r="Z31" s="1183"/>
      <c r="AA31" s="1183"/>
      <c r="AB31" s="1183"/>
      <c r="AC31" s="1183"/>
      <c r="AD31" s="1183"/>
      <c r="AE31" s="1183"/>
      <c r="AF31" s="1183"/>
      <c r="AG31" s="1183"/>
      <c r="AH31" s="1183"/>
      <c r="AI31" s="1183"/>
      <c r="AJ31" s="1183"/>
      <c r="AK31" s="1183"/>
      <c r="AL31" s="1748"/>
      <c r="AM31" s="1748"/>
      <c r="AN31" s="1748"/>
      <c r="AO31" s="1748"/>
      <c r="AP31" s="1748"/>
      <c r="AQ31" s="1748"/>
    </row>
    <row r="32" spans="1:44" ht="17.25" customHeight="1">
      <c r="A32" s="1735"/>
      <c r="B32" s="1748"/>
      <c r="C32" s="1740"/>
      <c r="D32" s="3938"/>
      <c r="E32" s="3941"/>
      <c r="F32" s="3925"/>
      <c r="G32" s="3942"/>
      <c r="H32" s="3938"/>
      <c r="I32" s="3938"/>
      <c r="J32" s="3960"/>
      <c r="K32" s="3955"/>
      <c r="L32" s="3923"/>
      <c r="M32" s="3923"/>
      <c r="N32" s="3963"/>
      <c r="O32" s="3904"/>
      <c r="P32" s="252"/>
      <c r="Q32" s="253"/>
      <c r="R32" s="253" t="s">
        <v>236</v>
      </c>
      <c r="S32" s="1741"/>
      <c r="T32" s="1741"/>
      <c r="U32" s="1741"/>
      <c r="V32" s="1741"/>
      <c r="W32" s="254"/>
      <c r="Y32" s="1183"/>
      <c r="Z32" s="1183"/>
      <c r="AA32" s="1183"/>
      <c r="AB32" s="1183"/>
      <c r="AC32" s="1183"/>
      <c r="AD32" s="1183"/>
      <c r="AE32" s="1183"/>
      <c r="AF32" s="1183"/>
      <c r="AG32" s="1183"/>
      <c r="AH32" s="1183"/>
      <c r="AI32" s="1183"/>
      <c r="AJ32" s="1183"/>
      <c r="AK32" s="1183"/>
      <c r="AL32" s="1748"/>
      <c r="AM32" s="1748"/>
      <c r="AN32" s="1748"/>
      <c r="AO32" s="1748"/>
      <c r="AP32" s="1748"/>
      <c r="AQ32" s="1748"/>
    </row>
    <row r="33" spans="1:43" ht="17.25" customHeight="1">
      <c r="A33" s="1735"/>
      <c r="B33" s="1748"/>
      <c r="C33" s="1737"/>
      <c r="D33" s="3938"/>
      <c r="E33" s="3941"/>
      <c r="F33" s="3925"/>
      <c r="G33" s="3942"/>
      <c r="H33" s="3938"/>
      <c r="I33" s="3938"/>
      <c r="J33" s="3960"/>
      <c r="K33" s="3955"/>
      <c r="L33" s="3900" t="s">
        <v>90</v>
      </c>
      <c r="M33" s="3900" t="s">
        <v>79</v>
      </c>
      <c r="N33" s="3962" t="str">
        <f>IF(Z33="","",INDEX(TERRITORY_MR_LIST,MATCH(Z33,TERRITORY_LIST_ID,0)))</f>
        <v>Территория 6</v>
      </c>
      <c r="O33" s="3952" t="s">
        <v>53</v>
      </c>
      <c r="P33" s="3900"/>
      <c r="Q33" s="3900" t="s">
        <v>184</v>
      </c>
      <c r="R33" s="3954" t="s">
        <v>253</v>
      </c>
      <c r="S33" s="3899" t="s">
        <v>6</v>
      </c>
      <c r="T33" s="1707"/>
      <c r="U33" s="1707" t="s">
        <v>184</v>
      </c>
      <c r="V33" s="2006" t="s">
        <v>15</v>
      </c>
      <c r="W33" s="1697"/>
      <c r="Y33" s="1191"/>
      <c r="Z33" s="1191" t="s">
        <v>129</v>
      </c>
      <c r="AA33" s="1191"/>
      <c r="AB33" s="1191"/>
      <c r="AC33" s="1866" t="s">
        <v>230</v>
      </c>
      <c r="AD33" s="1866" t="s">
        <v>231</v>
      </c>
      <c r="AE33" s="1191" t="s">
        <v>254</v>
      </c>
      <c r="AF33" s="1191" t="s">
        <v>255</v>
      </c>
      <c r="AG33" s="1191" t="s">
        <v>256</v>
      </c>
      <c r="AH33"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3" s="1191" t="str">
        <f>IF($G$18=0,"",$G$18)</f>
        <v>Производство тепловой энергии. Некомбинированная выработка; Передача. Тепловая энергия; Сбыт. Тепловая энергия</v>
      </c>
      <c r="AJ33" s="1191" t="str">
        <f>IF($J$18=0,"",$J$18)</f>
        <v>Тариф на тепловую энергию (мощность), поставляемую потребителям</v>
      </c>
      <c r="AK33" s="1191" t="str">
        <f>IF($K$33="нет","без дифференциации",IF($N$33=0,"",$N$33))</f>
        <v>Территория 6</v>
      </c>
      <c r="AL33" s="1739" t="str">
        <f>IF($O$33="нет","без дифференциации",IF($R$33=0,"",$R$33))</f>
        <v xml:space="preserve">котельная  №16 г. Сафоново, ул. Советская
</v>
      </c>
      <c r="AM33" s="1739" t="str">
        <f>IF($S$33="нет","без дифференциации",IF($V$33=0,"",$V$33))</f>
        <v>без дифференциации</v>
      </c>
      <c r="AN33" s="1191">
        <f>$I$18</f>
        <v>1</v>
      </c>
      <c r="AO33" s="1191" t="str">
        <f>$I$18&amp;"."&amp;$M$33</f>
        <v>1.6</v>
      </c>
      <c r="AP33" s="1191" t="str">
        <f>$I$18&amp;"."&amp;$M$33&amp;"."&amp;$Q$33</f>
        <v>1.6.1</v>
      </c>
      <c r="AQ33" s="1191" t="str">
        <f>$I$18&amp;"."&amp;$M$33&amp;"."&amp;$Q$33&amp;"."&amp;$U$33</f>
        <v>1.6.1.1</v>
      </c>
    </row>
    <row r="34" spans="1:43" ht="17.25" customHeight="1">
      <c r="A34" s="1735"/>
      <c r="B34" s="1748"/>
      <c r="C34" s="1740"/>
      <c r="D34" s="3938"/>
      <c r="E34" s="3941"/>
      <c r="F34" s="3925"/>
      <c r="G34" s="3942"/>
      <c r="H34" s="3938"/>
      <c r="I34" s="3938"/>
      <c r="J34" s="3960"/>
      <c r="K34" s="3955"/>
      <c r="L34" s="3900"/>
      <c r="M34" s="3900"/>
      <c r="N34" s="3962"/>
      <c r="O34" s="3953"/>
      <c r="P34" s="3900"/>
      <c r="Q34" s="3900"/>
      <c r="R34" s="3954"/>
      <c r="S34" s="3899"/>
      <c r="T34" s="252"/>
      <c r="U34" s="253"/>
      <c r="V34" s="253" t="s">
        <v>235</v>
      </c>
      <c r="W34" s="254"/>
      <c r="Y34" s="1183"/>
      <c r="Z34" s="1183"/>
      <c r="AA34" s="1183"/>
      <c r="AB34" s="1183"/>
      <c r="AC34" s="1183"/>
      <c r="AD34" s="1183"/>
      <c r="AE34" s="1183"/>
      <c r="AF34" s="1183"/>
      <c r="AG34" s="1183"/>
      <c r="AH34" s="1183"/>
      <c r="AI34" s="1183"/>
      <c r="AJ34" s="1183"/>
      <c r="AK34" s="1183"/>
      <c r="AL34" s="1748"/>
      <c r="AM34" s="1748"/>
      <c r="AN34" s="1748"/>
      <c r="AO34" s="1748"/>
      <c r="AP34" s="1748"/>
      <c r="AQ34" s="1748"/>
    </row>
    <row r="35" spans="1:43" ht="17.25" customHeight="1">
      <c r="A35" s="1735"/>
      <c r="B35" s="1748"/>
      <c r="C35" s="1737"/>
      <c r="D35" s="3938"/>
      <c r="E35" s="3941"/>
      <c r="F35" s="3925"/>
      <c r="G35" s="3942"/>
      <c r="H35" s="3938"/>
      <c r="I35" s="3938"/>
      <c r="J35" s="3960"/>
      <c r="K35" s="3955"/>
      <c r="L35" s="3964"/>
      <c r="M35" s="3964"/>
      <c r="N35" s="3965"/>
      <c r="O35" s="3953"/>
      <c r="P35" s="3900" t="s">
        <v>90</v>
      </c>
      <c r="Q35" s="3900" t="s">
        <v>89</v>
      </c>
      <c r="R35" s="3954" t="s">
        <v>257</v>
      </c>
      <c r="S35" s="3899" t="s">
        <v>6</v>
      </c>
      <c r="T35" s="1707"/>
      <c r="U35" s="1707" t="s">
        <v>184</v>
      </c>
      <c r="V35" s="2006" t="s">
        <v>15</v>
      </c>
      <c r="W35" s="1697"/>
      <c r="Y35" s="1191"/>
      <c r="Z35" s="1191"/>
      <c r="AA35" s="1191"/>
      <c r="AB35" s="1191"/>
      <c r="AC35" s="1866" t="s">
        <v>230</v>
      </c>
      <c r="AD35" s="1866" t="s">
        <v>231</v>
      </c>
      <c r="AE35" s="1866" t="s">
        <v>254</v>
      </c>
      <c r="AF35" s="1191" t="s">
        <v>258</v>
      </c>
      <c r="AG35" s="1191" t="s">
        <v>259</v>
      </c>
      <c r="AH35"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5" s="1191" t="str">
        <f>IF($G$18=0,"",$G$18)</f>
        <v>Производство тепловой энергии. Некомбинированная выработка; Передача. Тепловая энергия; Сбыт. Тепловая энергия</v>
      </c>
      <c r="AJ35" s="1191" t="str">
        <f>IF($J$18=0,"",$J$18)</f>
        <v>Тариф на тепловую энергию (мощность), поставляемую потребителям</v>
      </c>
      <c r="AK35" s="1191" t="str">
        <f>IF($K$33="нет","без дифференциации",IF($N$33=0,"",$N$33))</f>
        <v>Территория 6</v>
      </c>
      <c r="AL35" s="1739" t="str">
        <f>IF($O$35="нет","без дифференциации",IF($R$35=0,"",$R$35))</f>
        <v xml:space="preserve">котельная  №18 г. Сафоново, ул. Первомайская
</v>
      </c>
      <c r="AM35" s="1739" t="str">
        <f>IF($S$35="нет","без дифференциации",IF($V$35=0,"",$V$35))</f>
        <v>без дифференциации</v>
      </c>
      <c r="AN35" s="1191">
        <f>$I$18</f>
        <v>1</v>
      </c>
      <c r="AO35" s="1191" t="str">
        <f>$I$18&amp;"."&amp;$M$33</f>
        <v>1.6</v>
      </c>
      <c r="AP35" s="1191" t="str">
        <f>$I$18&amp;"."&amp;$M$33&amp;"."&amp;$Q$35</f>
        <v>1.6.2</v>
      </c>
      <c r="AQ35" s="1191" t="str">
        <f>$I$18&amp;"."&amp;$M$33&amp;"."&amp;$Q$35&amp;"."&amp;$U$35</f>
        <v>1.6.2.1</v>
      </c>
    </row>
    <row r="36" spans="1:43" ht="17.25" customHeight="1">
      <c r="A36" s="1735"/>
      <c r="B36" s="1748"/>
      <c r="C36" s="1740"/>
      <c r="D36" s="3938"/>
      <c r="E36" s="3941"/>
      <c r="F36" s="3925"/>
      <c r="G36" s="3942"/>
      <c r="H36" s="3938"/>
      <c r="I36" s="3938"/>
      <c r="J36" s="3960"/>
      <c r="K36" s="3955"/>
      <c r="L36" s="3964"/>
      <c r="M36" s="3964"/>
      <c r="N36" s="3965"/>
      <c r="O36" s="3953"/>
      <c r="P36" s="3900"/>
      <c r="Q36" s="3900"/>
      <c r="R36" s="3954"/>
      <c r="S36" s="3899"/>
      <c r="T36" s="252"/>
      <c r="U36" s="253"/>
      <c r="V36" s="253" t="s">
        <v>235</v>
      </c>
      <c r="W36" s="254"/>
      <c r="Y36" s="1183"/>
      <c r="Z36" s="1183"/>
      <c r="AA36" s="1183"/>
      <c r="AB36" s="1183"/>
      <c r="AC36" s="1183"/>
      <c r="AD36" s="1183"/>
      <c r="AE36" s="1183"/>
      <c r="AF36" s="1183"/>
      <c r="AG36" s="1183"/>
      <c r="AH36" s="1183"/>
      <c r="AI36" s="1183"/>
      <c r="AJ36" s="1183"/>
      <c r="AK36" s="1183"/>
      <c r="AL36" s="1748"/>
      <c r="AM36" s="1748"/>
      <c r="AN36" s="1748"/>
      <c r="AO36" s="1748"/>
      <c r="AP36" s="1748"/>
      <c r="AQ36" s="1748"/>
    </row>
    <row r="37" spans="1:43" ht="17.25" customHeight="1">
      <c r="A37" s="1735"/>
      <c r="B37" s="1748"/>
      <c r="C37" s="1740"/>
      <c r="D37" s="3938"/>
      <c r="E37" s="3941"/>
      <c r="F37" s="3925"/>
      <c r="G37" s="3942"/>
      <c r="H37" s="3938"/>
      <c r="I37" s="3938"/>
      <c r="J37" s="3960"/>
      <c r="K37" s="3955"/>
      <c r="L37" s="3923"/>
      <c r="M37" s="3923"/>
      <c r="N37" s="3963"/>
      <c r="O37" s="3904"/>
      <c r="P37" s="252"/>
      <c r="Q37" s="253"/>
      <c r="R37" s="253" t="s">
        <v>236</v>
      </c>
      <c r="S37" s="1741"/>
      <c r="T37" s="1741"/>
      <c r="U37" s="1741"/>
      <c r="V37" s="1741"/>
      <c r="W37" s="254"/>
      <c r="Y37" s="1183"/>
      <c r="Z37" s="1183"/>
      <c r="AA37" s="1183"/>
      <c r="AB37" s="1183"/>
      <c r="AC37" s="1183"/>
      <c r="AD37" s="1183"/>
      <c r="AE37" s="1183"/>
      <c r="AF37" s="1183"/>
      <c r="AG37" s="1183"/>
      <c r="AH37" s="1183"/>
      <c r="AI37" s="1183"/>
      <c r="AJ37" s="1183"/>
      <c r="AK37" s="1183"/>
      <c r="AL37" s="1748"/>
      <c r="AM37" s="1748"/>
      <c r="AN37" s="1748"/>
      <c r="AO37" s="1748"/>
      <c r="AP37" s="1748"/>
      <c r="AQ37" s="1748"/>
    </row>
    <row r="38" spans="1:43" ht="17.25" customHeight="1">
      <c r="A38" s="1735"/>
      <c r="B38" s="1748"/>
      <c r="C38" s="1737"/>
      <c r="D38" s="3938"/>
      <c r="E38" s="3941"/>
      <c r="F38" s="3925"/>
      <c r="G38" s="3942"/>
      <c r="H38" s="3938"/>
      <c r="I38" s="3938"/>
      <c r="J38" s="3960"/>
      <c r="K38" s="3955"/>
      <c r="L38" s="3900" t="s">
        <v>90</v>
      </c>
      <c r="M38" s="3900" t="s">
        <v>80</v>
      </c>
      <c r="N38" s="3962" t="str">
        <f>IF(Z38="","",INDEX(TERRITORY_MR_LIST,MATCH(Z38,TERRITORY_LIST_ID,0)))</f>
        <v>Территория 7</v>
      </c>
      <c r="O38" s="3952" t="s">
        <v>53</v>
      </c>
      <c r="P38" s="3900"/>
      <c r="Q38" s="3900" t="s">
        <v>184</v>
      </c>
      <c r="R38" s="3954" t="s">
        <v>260</v>
      </c>
      <c r="S38" s="3899" t="s">
        <v>6</v>
      </c>
      <c r="T38" s="1707"/>
      <c r="U38" s="1707" t="s">
        <v>184</v>
      </c>
      <c r="V38" s="2006" t="s">
        <v>15</v>
      </c>
      <c r="W38" s="1697"/>
      <c r="Y38" s="1191"/>
      <c r="Z38" s="1191" t="s">
        <v>130</v>
      </c>
      <c r="AA38" s="1191"/>
      <c r="AB38" s="1191"/>
      <c r="AC38" s="1866" t="s">
        <v>230</v>
      </c>
      <c r="AD38" s="1866" t="s">
        <v>231</v>
      </c>
      <c r="AE38" s="1191" t="s">
        <v>261</v>
      </c>
      <c r="AF38" s="1191" t="s">
        <v>262</v>
      </c>
      <c r="AG38" s="1191" t="s">
        <v>263</v>
      </c>
      <c r="AH38"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8" s="1191" t="str">
        <f>IF($G$18=0,"",$G$18)</f>
        <v>Производство тепловой энергии. Некомбинированная выработка; Передача. Тепловая энергия; Сбыт. Тепловая энергия</v>
      </c>
      <c r="AJ38" s="1191" t="str">
        <f>IF($J$18=0,"",$J$18)</f>
        <v>Тариф на тепловую энергию (мощность), поставляемую потребителям</v>
      </c>
      <c r="AK38" s="1191" t="str">
        <f>IF($K$38="нет","без дифференциации",IF($N$38=0,"",$N$38))</f>
        <v>Территория 7</v>
      </c>
      <c r="AL38" s="1739" t="str">
        <f>IF($O$38="нет","без дифференциации",IF($R$38=0,"",$R$38))</f>
        <v xml:space="preserve">котельная БМК Михайловское
</v>
      </c>
      <c r="AM38" s="1739" t="str">
        <f>IF($S$38="нет","без дифференциации",IF($V$38=0,"",$V$38))</f>
        <v>без дифференциации</v>
      </c>
      <c r="AN38" s="1191">
        <f>$I$18</f>
        <v>1</v>
      </c>
      <c r="AO38" s="1191" t="str">
        <f>$I$18&amp;"."&amp;$M$38</f>
        <v>1.7</v>
      </c>
      <c r="AP38" s="1191" t="str">
        <f>$I$18&amp;"."&amp;$M$38&amp;"."&amp;$Q$38</f>
        <v>1.7.1</v>
      </c>
      <c r="AQ38" s="1191" t="str">
        <f>$I$18&amp;"."&amp;$M$38&amp;"."&amp;$Q$38&amp;"."&amp;$U$38</f>
        <v>1.7.1.1</v>
      </c>
    </row>
    <row r="39" spans="1:43" ht="17.25" customHeight="1">
      <c r="A39" s="1735"/>
      <c r="B39" s="1748"/>
      <c r="C39" s="1740"/>
      <c r="D39" s="3938"/>
      <c r="E39" s="3941"/>
      <c r="F39" s="3925"/>
      <c r="G39" s="3942"/>
      <c r="H39" s="3938"/>
      <c r="I39" s="3938"/>
      <c r="J39" s="3960"/>
      <c r="K39" s="3955"/>
      <c r="L39" s="3900"/>
      <c r="M39" s="3900"/>
      <c r="N39" s="3962"/>
      <c r="O39" s="3953"/>
      <c r="P39" s="3900"/>
      <c r="Q39" s="3900"/>
      <c r="R39" s="3954"/>
      <c r="S39" s="3899"/>
      <c r="T39" s="252"/>
      <c r="U39" s="253"/>
      <c r="V39" s="253" t="s">
        <v>235</v>
      </c>
      <c r="W39" s="254"/>
      <c r="Y39" s="1183"/>
      <c r="Z39" s="1183"/>
      <c r="AA39" s="1183"/>
      <c r="AB39" s="1183"/>
      <c r="AC39" s="1183"/>
      <c r="AD39" s="1183"/>
      <c r="AE39" s="1183"/>
      <c r="AF39" s="1183"/>
      <c r="AG39" s="1183"/>
      <c r="AH39" s="1183"/>
      <c r="AI39" s="1183"/>
      <c r="AJ39" s="1183"/>
      <c r="AK39" s="1183"/>
      <c r="AL39" s="1748"/>
      <c r="AM39" s="1748"/>
      <c r="AN39" s="1748"/>
      <c r="AO39" s="1748"/>
      <c r="AP39" s="1748"/>
      <c r="AQ39" s="1748"/>
    </row>
    <row r="40" spans="1:43" ht="17.25" customHeight="1">
      <c r="A40" s="1735"/>
      <c r="B40" s="1748"/>
      <c r="C40" s="1740"/>
      <c r="D40" s="3938"/>
      <c r="E40" s="3941"/>
      <c r="F40" s="3925"/>
      <c r="G40" s="3942"/>
      <c r="H40" s="3938"/>
      <c r="I40" s="3938"/>
      <c r="J40" s="3960"/>
      <c r="K40" s="3955"/>
      <c r="L40" s="3923"/>
      <c r="M40" s="3923"/>
      <c r="N40" s="3963"/>
      <c r="O40" s="3904"/>
      <c r="P40" s="252"/>
      <c r="Q40" s="253"/>
      <c r="R40" s="253" t="s">
        <v>236</v>
      </c>
      <c r="S40" s="1741"/>
      <c r="T40" s="1741"/>
      <c r="U40" s="1741"/>
      <c r="V40" s="1741"/>
      <c r="W40" s="254"/>
      <c r="Y40" s="1183"/>
      <c r="Z40" s="1183"/>
      <c r="AA40" s="1183"/>
      <c r="AB40" s="1183"/>
      <c r="AC40" s="1183"/>
      <c r="AD40" s="1183"/>
      <c r="AE40" s="1183"/>
      <c r="AF40" s="1183"/>
      <c r="AG40" s="1183"/>
      <c r="AH40" s="1183"/>
      <c r="AI40" s="1183"/>
      <c r="AJ40" s="1183"/>
      <c r="AK40" s="1183"/>
      <c r="AL40" s="1748"/>
      <c r="AM40" s="1748"/>
      <c r="AN40" s="1748"/>
      <c r="AO40" s="1748"/>
      <c r="AP40" s="1748"/>
      <c r="AQ40" s="1748"/>
    </row>
    <row r="41" spans="1:43" ht="17.25" customHeight="1">
      <c r="A41" s="1735"/>
      <c r="B41" s="1748"/>
      <c r="C41" s="1737"/>
      <c r="D41" s="3938"/>
      <c r="E41" s="3941"/>
      <c r="F41" s="3925"/>
      <c r="G41" s="3942"/>
      <c r="H41" s="3938"/>
      <c r="I41" s="3938"/>
      <c r="J41" s="3960"/>
      <c r="K41" s="3955"/>
      <c r="L41" s="3900" t="s">
        <v>90</v>
      </c>
      <c r="M41" s="3900" t="s">
        <v>134</v>
      </c>
      <c r="N41" s="3962" t="str">
        <f>IF(Z41="","",INDEX(TERRITORY_MR_LIST,MATCH(Z41,TERRITORY_LIST_ID,0)))</f>
        <v>Территория 8</v>
      </c>
      <c r="O41" s="3952" t="s">
        <v>53</v>
      </c>
      <c r="P41" s="3900"/>
      <c r="Q41" s="3900" t="s">
        <v>184</v>
      </c>
      <c r="R41" s="3954" t="s">
        <v>264</v>
      </c>
      <c r="S41" s="3899" t="s">
        <v>6</v>
      </c>
      <c r="T41" s="1707"/>
      <c r="U41" s="1707" t="s">
        <v>184</v>
      </c>
      <c r="V41" s="2006" t="s">
        <v>15</v>
      </c>
      <c r="W41" s="1697"/>
      <c r="Y41" s="1191"/>
      <c r="Z41" s="1191" t="s">
        <v>135</v>
      </c>
      <c r="AA41" s="1191"/>
      <c r="AB41" s="1191"/>
      <c r="AC41" s="1866" t="s">
        <v>230</v>
      </c>
      <c r="AD41" s="1866" t="s">
        <v>231</v>
      </c>
      <c r="AE41" s="1191" t="s">
        <v>265</v>
      </c>
      <c r="AF41" s="1191" t="s">
        <v>266</v>
      </c>
      <c r="AG41" s="1191" t="s">
        <v>267</v>
      </c>
      <c r="AH41"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1" s="1191" t="str">
        <f>IF($G$18=0,"",$G$18)</f>
        <v>Производство тепловой энергии. Некомбинированная выработка; Передача. Тепловая энергия; Сбыт. Тепловая энергия</v>
      </c>
      <c r="AJ41" s="1191" t="str">
        <f>IF($J$18=0,"",$J$18)</f>
        <v>Тариф на тепловую энергию (мощность), поставляемую потребителям</v>
      </c>
      <c r="AK41" s="1191" t="str">
        <f>IF($K$41="нет","без дифференциации",IF($N$41=0,"",$N$41))</f>
        <v>Территория 8</v>
      </c>
      <c r="AL41" s="1739" t="str">
        <f>IF($O$41="нет","без дифференциации",IF($R$41=0,"",$R$41))</f>
        <v xml:space="preserve">котельные п. Холм-Жирковский, ул. Кирова и ул. Советская
</v>
      </c>
      <c r="AM41" s="1739" t="str">
        <f>IF($S$41="нет","без дифференциации",IF($V$41=0,"",$V$41))</f>
        <v>без дифференциации</v>
      </c>
      <c r="AN41" s="1191">
        <f>$I$18</f>
        <v>1</v>
      </c>
      <c r="AO41" s="1191" t="str">
        <f>$I$18&amp;"."&amp;$M$41</f>
        <v>1.8</v>
      </c>
      <c r="AP41" s="1191" t="str">
        <f>$I$18&amp;"."&amp;$M$41&amp;"."&amp;$Q$41</f>
        <v>1.8.1</v>
      </c>
      <c r="AQ41" s="1191" t="str">
        <f>$I$18&amp;"."&amp;$M$41&amp;"."&amp;$Q$41&amp;"."&amp;$U$41</f>
        <v>1.8.1.1</v>
      </c>
    </row>
    <row r="42" spans="1:43" ht="17.25" customHeight="1">
      <c r="A42" s="1735"/>
      <c r="B42" s="1748"/>
      <c r="C42" s="1740"/>
      <c r="D42" s="3938"/>
      <c r="E42" s="3941"/>
      <c r="F42" s="3925"/>
      <c r="G42" s="3942"/>
      <c r="H42" s="3938"/>
      <c r="I42" s="3938"/>
      <c r="J42" s="3960"/>
      <c r="K42" s="3955"/>
      <c r="L42" s="3900"/>
      <c r="M42" s="3900"/>
      <c r="N42" s="3962"/>
      <c r="O42" s="3953"/>
      <c r="P42" s="3900"/>
      <c r="Q42" s="3900"/>
      <c r="R42" s="3954"/>
      <c r="S42" s="3899"/>
      <c r="T42" s="252"/>
      <c r="U42" s="253"/>
      <c r="V42" s="253" t="s">
        <v>235</v>
      </c>
      <c r="W42" s="254"/>
      <c r="Y42" s="1183"/>
      <c r="Z42" s="1183"/>
      <c r="AA42" s="1183"/>
      <c r="AB42" s="1183"/>
      <c r="AC42" s="1183"/>
      <c r="AD42" s="1183"/>
      <c r="AE42" s="1183"/>
      <c r="AF42" s="1183"/>
      <c r="AG42" s="1183"/>
      <c r="AH42" s="1183"/>
      <c r="AI42" s="1183"/>
      <c r="AJ42" s="1183"/>
      <c r="AK42" s="1183"/>
      <c r="AL42" s="1748"/>
      <c r="AM42" s="1748"/>
      <c r="AN42" s="1748"/>
      <c r="AO42" s="1748"/>
      <c r="AP42" s="1748"/>
      <c r="AQ42" s="1748"/>
    </row>
    <row r="43" spans="1:43" ht="17.25" customHeight="1">
      <c r="A43" s="1735"/>
      <c r="B43" s="1748"/>
      <c r="C43" s="1740"/>
      <c r="D43" s="3938"/>
      <c r="E43" s="3941"/>
      <c r="F43" s="3925"/>
      <c r="G43" s="3942"/>
      <c r="H43" s="3938"/>
      <c r="I43" s="3938"/>
      <c r="J43" s="3960"/>
      <c r="K43" s="3955"/>
      <c r="L43" s="3923"/>
      <c r="M43" s="3923"/>
      <c r="N43" s="3963"/>
      <c r="O43" s="3904"/>
      <c r="P43" s="252"/>
      <c r="Q43" s="253"/>
      <c r="R43" s="253" t="s">
        <v>236</v>
      </c>
      <c r="S43" s="1741"/>
      <c r="T43" s="1741"/>
      <c r="U43" s="1741"/>
      <c r="V43" s="1741"/>
      <c r="W43" s="254"/>
      <c r="Y43" s="1183"/>
      <c r="Z43" s="1183"/>
      <c r="AA43" s="1183"/>
      <c r="AB43" s="1183"/>
      <c r="AC43" s="1183"/>
      <c r="AD43" s="1183"/>
      <c r="AE43" s="1183"/>
      <c r="AF43" s="1183"/>
      <c r="AG43" s="1183"/>
      <c r="AH43" s="1183"/>
      <c r="AI43" s="1183"/>
      <c r="AJ43" s="1183"/>
      <c r="AK43" s="1183"/>
      <c r="AL43" s="1748"/>
      <c r="AM43" s="1748"/>
      <c r="AN43" s="1748"/>
      <c r="AO43" s="1748"/>
      <c r="AP43" s="1748"/>
      <c r="AQ43" s="1748"/>
    </row>
    <row r="44" spans="1:43" ht="17.25" customHeight="1">
      <c r="A44" s="1735"/>
      <c r="B44" s="1748"/>
      <c r="C44" s="1737"/>
      <c r="D44" s="3938"/>
      <c r="E44" s="3941"/>
      <c r="F44" s="3925"/>
      <c r="G44" s="3942"/>
      <c r="H44" s="3938"/>
      <c r="I44" s="3938"/>
      <c r="J44" s="3960"/>
      <c r="K44" s="3955"/>
      <c r="L44" s="3900" t="s">
        <v>90</v>
      </c>
      <c r="M44" s="3900" t="s">
        <v>136</v>
      </c>
      <c r="N44" s="3962" t="str">
        <f>IF(Z44="","",INDEX(TERRITORY_MR_LIST,MATCH(Z44,TERRITORY_LIST_ID,0)))</f>
        <v>Территория 9</v>
      </c>
      <c r="O44" s="3952" t="s">
        <v>53</v>
      </c>
      <c r="P44" s="3900"/>
      <c r="Q44" s="3900" t="s">
        <v>184</v>
      </c>
      <c r="R44" s="3954" t="s">
        <v>268</v>
      </c>
      <c r="S44" s="3899" t="s">
        <v>6</v>
      </c>
      <c r="T44" s="1707"/>
      <c r="U44" s="1707" t="s">
        <v>184</v>
      </c>
      <c r="V44" s="2006" t="s">
        <v>15</v>
      </c>
      <c r="W44" s="1697"/>
      <c r="Y44" s="1191"/>
      <c r="Z44" s="1191" t="s">
        <v>137</v>
      </c>
      <c r="AA44" s="1191"/>
      <c r="AB44" s="1191"/>
      <c r="AC44" s="1866" t="s">
        <v>230</v>
      </c>
      <c r="AD44" s="1866" t="s">
        <v>231</v>
      </c>
      <c r="AE44" s="1191" t="s">
        <v>269</v>
      </c>
      <c r="AF44" s="1191" t="s">
        <v>270</v>
      </c>
      <c r="AG44" s="1191" t="s">
        <v>271</v>
      </c>
      <c r="AH44"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4" s="1191" t="str">
        <f>IF($G$18=0,"",$G$18)</f>
        <v>Производство тепловой энергии. Некомбинированная выработка; Передача. Тепловая энергия; Сбыт. Тепловая энергия</v>
      </c>
      <c r="AJ44" s="1191" t="str">
        <f>IF($J$18=0,"",$J$18)</f>
        <v>Тариф на тепловую энергию (мощность), поставляемую потребителям</v>
      </c>
      <c r="AK44" s="1191" t="str">
        <f>IF($K$44="нет","без дифференциации",IF($N$44=0,"",$N$44))</f>
        <v>Территория 9</v>
      </c>
      <c r="AL44" s="1739" t="str">
        <f>IF($O$44="нет","без дифференциации",IF($R$44=0,"",$R$44))</f>
        <v>Ярцевский филиал</v>
      </c>
      <c r="AM44" s="1739" t="str">
        <f>IF($S$44="нет","без дифференциации",IF($V$44=0,"",$V$44))</f>
        <v>без дифференциации</v>
      </c>
      <c r="AN44" s="1191">
        <f>$I$18</f>
        <v>1</v>
      </c>
      <c r="AO44" s="1191" t="str">
        <f>$I$18&amp;"."&amp;$M$44</f>
        <v>1.9</v>
      </c>
      <c r="AP44" s="1191" t="str">
        <f>$I$18&amp;"."&amp;$M$44&amp;"."&amp;$Q$44</f>
        <v>1.9.1</v>
      </c>
      <c r="AQ44" s="1191" t="str">
        <f>$I$18&amp;"."&amp;$M$44&amp;"."&amp;$Q$44&amp;"."&amp;$U$44</f>
        <v>1.9.1.1</v>
      </c>
    </row>
    <row r="45" spans="1:43" ht="17.25" customHeight="1">
      <c r="A45" s="1735"/>
      <c r="B45" s="1748"/>
      <c r="C45" s="1740"/>
      <c r="D45" s="3938"/>
      <c r="E45" s="3941"/>
      <c r="F45" s="3925"/>
      <c r="G45" s="3942"/>
      <c r="H45" s="3938"/>
      <c r="I45" s="3938"/>
      <c r="J45" s="3960"/>
      <c r="K45" s="3955"/>
      <c r="L45" s="3900"/>
      <c r="M45" s="3900"/>
      <c r="N45" s="3962"/>
      <c r="O45" s="3953"/>
      <c r="P45" s="3900"/>
      <c r="Q45" s="3900"/>
      <c r="R45" s="3954"/>
      <c r="S45" s="3899"/>
      <c r="T45" s="252"/>
      <c r="U45" s="253"/>
      <c r="V45" s="253" t="s">
        <v>235</v>
      </c>
      <c r="W45" s="254"/>
      <c r="Y45" s="1183"/>
      <c r="Z45" s="1183"/>
      <c r="AA45" s="1183"/>
      <c r="AB45" s="1183"/>
      <c r="AC45" s="1183"/>
      <c r="AD45" s="1183"/>
      <c r="AE45" s="1183"/>
      <c r="AF45" s="1183"/>
      <c r="AG45" s="1183"/>
      <c r="AH45" s="1183"/>
      <c r="AI45" s="1183"/>
      <c r="AJ45" s="1183"/>
      <c r="AK45" s="1183"/>
      <c r="AL45" s="1748"/>
      <c r="AM45" s="1748"/>
      <c r="AN45" s="1748"/>
      <c r="AO45" s="1748"/>
      <c r="AP45" s="1748"/>
      <c r="AQ45" s="1748"/>
    </row>
    <row r="46" spans="1:43" ht="17.25" customHeight="1">
      <c r="A46" s="1735"/>
      <c r="B46" s="1748"/>
      <c r="C46" s="1740"/>
      <c r="D46" s="3938"/>
      <c r="E46" s="3941"/>
      <c r="F46" s="3925"/>
      <c r="G46" s="3942"/>
      <c r="H46" s="3938"/>
      <c r="I46" s="3938"/>
      <c r="J46" s="3960"/>
      <c r="K46" s="3955"/>
      <c r="L46" s="3923"/>
      <c r="M46" s="3923"/>
      <c r="N46" s="3963"/>
      <c r="O46" s="3904"/>
      <c r="P46" s="252"/>
      <c r="Q46" s="253"/>
      <c r="R46" s="253" t="s">
        <v>236</v>
      </c>
      <c r="S46" s="1741"/>
      <c r="T46" s="1741"/>
      <c r="U46" s="1741"/>
      <c r="V46" s="1741"/>
      <c r="W46" s="254"/>
      <c r="Y46" s="1183"/>
      <c r="Z46" s="1183"/>
      <c r="AA46" s="1183"/>
      <c r="AB46" s="1183"/>
      <c r="AC46" s="1183"/>
      <c r="AD46" s="1183"/>
      <c r="AE46" s="1183"/>
      <c r="AF46" s="1183"/>
      <c r="AG46" s="1183"/>
      <c r="AH46" s="1183"/>
      <c r="AI46" s="1183"/>
      <c r="AJ46" s="1183"/>
      <c r="AK46" s="1183"/>
      <c r="AL46" s="1748"/>
      <c r="AM46" s="1748"/>
      <c r="AN46" s="1748"/>
      <c r="AO46" s="1748"/>
      <c r="AP46" s="1748"/>
      <c r="AQ46" s="1748"/>
    </row>
    <row r="47" spans="1:43" ht="17.25" customHeight="1">
      <c r="A47" s="1735"/>
      <c r="B47" s="1748"/>
      <c r="C47" s="1737"/>
      <c r="D47" s="3938"/>
      <c r="E47" s="3941"/>
      <c r="F47" s="3925"/>
      <c r="G47" s="3942"/>
      <c r="H47" s="3938"/>
      <c r="I47" s="3938"/>
      <c r="J47" s="3960"/>
      <c r="K47" s="3955"/>
      <c r="L47" s="3900" t="s">
        <v>90</v>
      </c>
      <c r="M47" s="3900" t="s">
        <v>141</v>
      </c>
      <c r="N47" s="3962" t="str">
        <f>IF(Z47="","",INDEX(TERRITORY_MR_LIST,MATCH(Z47,TERRITORY_LIST_ID,0)))</f>
        <v>Территория 10</v>
      </c>
      <c r="O47" s="3952" t="s">
        <v>53</v>
      </c>
      <c r="P47" s="3900"/>
      <c r="Q47" s="3900" t="s">
        <v>184</v>
      </c>
      <c r="R47" s="3954" t="s">
        <v>272</v>
      </c>
      <c r="S47" s="3899" t="s">
        <v>6</v>
      </c>
      <c r="T47" s="1707"/>
      <c r="U47" s="1707" t="s">
        <v>184</v>
      </c>
      <c r="V47" s="2006" t="s">
        <v>15</v>
      </c>
      <c r="W47" s="1697"/>
      <c r="Y47" s="1191"/>
      <c r="Z47" s="1191" t="s">
        <v>142</v>
      </c>
      <c r="AA47" s="1191"/>
      <c r="AB47" s="1191"/>
      <c r="AC47" s="1866" t="s">
        <v>230</v>
      </c>
      <c r="AD47" s="1866" t="s">
        <v>231</v>
      </c>
      <c r="AE47" s="1191" t="s">
        <v>273</v>
      </c>
      <c r="AF47" s="1191" t="s">
        <v>274</v>
      </c>
      <c r="AG47" s="1191" t="s">
        <v>275</v>
      </c>
      <c r="AH47"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47" s="1191" t="str">
        <f>IF($G$18=0,"",$G$18)</f>
        <v>Производство тепловой энергии. Некомбинированная выработка; Передача. Тепловая энергия; Сбыт. Тепловая энергия</v>
      </c>
      <c r="AJ47" s="1191" t="str">
        <f>IF($J$18=0,"",$J$18)</f>
        <v>Тариф на тепловую энергию (мощность), поставляемую потребителям</v>
      </c>
      <c r="AK47" s="1191" t="str">
        <f>IF($K$47="нет","без дифференциации",IF($N$47=0,"",$N$47))</f>
        <v>Территория 10</v>
      </c>
      <c r="AL47" s="1739" t="str">
        <f>IF($O$47="нет","без дифференциации",IF($R$47=0,"",$R$47))</f>
        <v>п. Красный</v>
      </c>
      <c r="AM47" s="1739" t="str">
        <f>IF($S$47="нет","без дифференциации",IF($V$47=0,"",$V$47))</f>
        <v>без дифференциации</v>
      </c>
      <c r="AN47" s="1191">
        <f>$I$18</f>
        <v>1</v>
      </c>
      <c r="AO47" s="1191" t="str">
        <f>$I$18&amp;"."&amp;$M$47</f>
        <v>1.10</v>
      </c>
      <c r="AP47" s="1191" t="str">
        <f>$I$18&amp;"."&amp;$M$47&amp;"."&amp;$Q$47</f>
        <v>1.10.1</v>
      </c>
      <c r="AQ47" s="1191" t="str">
        <f>$I$18&amp;"."&amp;$M$47&amp;"."&amp;$Q$47&amp;"."&amp;$U$47</f>
        <v>1.10.1.1</v>
      </c>
    </row>
    <row r="48" spans="1:43" ht="17.25" customHeight="1">
      <c r="A48" s="1735"/>
      <c r="B48" s="1748"/>
      <c r="C48" s="1740"/>
      <c r="D48" s="3938"/>
      <c r="E48" s="3941"/>
      <c r="F48" s="3925"/>
      <c r="G48" s="3942"/>
      <c r="H48" s="3938"/>
      <c r="I48" s="3938"/>
      <c r="J48" s="3960"/>
      <c r="K48" s="3955"/>
      <c r="L48" s="3900"/>
      <c r="M48" s="3900"/>
      <c r="N48" s="3962"/>
      <c r="O48" s="3953"/>
      <c r="P48" s="3900"/>
      <c r="Q48" s="3900"/>
      <c r="R48" s="3954"/>
      <c r="S48" s="3899"/>
      <c r="T48" s="252"/>
      <c r="U48" s="253"/>
      <c r="V48" s="253" t="s">
        <v>235</v>
      </c>
      <c r="W48" s="254"/>
      <c r="Y48" s="1183"/>
      <c r="Z48" s="1183"/>
      <c r="AA48" s="1183"/>
      <c r="AB48" s="1183"/>
      <c r="AC48" s="1183"/>
      <c r="AD48" s="1183"/>
      <c r="AE48" s="1183"/>
      <c r="AF48" s="1183"/>
      <c r="AG48" s="1183"/>
      <c r="AH48" s="1183"/>
      <c r="AI48" s="1183"/>
      <c r="AJ48" s="1183"/>
      <c r="AK48" s="1183"/>
      <c r="AL48" s="1748"/>
      <c r="AM48" s="1748"/>
      <c r="AN48" s="1748"/>
      <c r="AO48" s="1748"/>
      <c r="AP48" s="1748"/>
      <c r="AQ48" s="1748"/>
    </row>
    <row r="49" spans="1:44" ht="17.25" customHeight="1">
      <c r="A49" s="1735"/>
      <c r="B49" s="1748"/>
      <c r="C49" s="1740"/>
      <c r="D49" s="3938"/>
      <c r="E49" s="3941"/>
      <c r="F49" s="3925"/>
      <c r="G49" s="3942"/>
      <c r="H49" s="3938"/>
      <c r="I49" s="3938"/>
      <c r="J49" s="3960"/>
      <c r="K49" s="3955"/>
      <c r="L49" s="3923"/>
      <c r="M49" s="3923"/>
      <c r="N49" s="3963"/>
      <c r="O49" s="3904"/>
      <c r="P49" s="252"/>
      <c r="Q49" s="253"/>
      <c r="R49" s="253" t="s">
        <v>236</v>
      </c>
      <c r="S49" s="1741"/>
      <c r="T49" s="1741"/>
      <c r="U49" s="1741"/>
      <c r="V49" s="1741"/>
      <c r="W49" s="254"/>
      <c r="Y49" s="1183"/>
      <c r="Z49" s="1183"/>
      <c r="AA49" s="1183"/>
      <c r="AB49" s="1183"/>
      <c r="AC49" s="1183"/>
      <c r="AD49" s="1183"/>
      <c r="AE49" s="1183"/>
      <c r="AF49" s="1183"/>
      <c r="AG49" s="1183"/>
      <c r="AH49" s="1183"/>
      <c r="AI49" s="1183"/>
      <c r="AJ49" s="1183"/>
      <c r="AK49" s="1183"/>
      <c r="AL49" s="1748"/>
      <c r="AM49" s="1748"/>
      <c r="AN49" s="1748"/>
      <c r="AO49" s="1748"/>
      <c r="AP49" s="1748"/>
      <c r="AQ49" s="1748"/>
    </row>
    <row r="50" spans="1:44" ht="17.25" customHeight="1">
      <c r="A50" s="1735"/>
      <c r="B50" s="1748"/>
      <c r="C50" s="1737"/>
      <c r="D50" s="3938"/>
      <c r="E50" s="3941"/>
      <c r="F50" s="3925"/>
      <c r="G50" s="3942"/>
      <c r="H50" s="3938"/>
      <c r="I50" s="3938"/>
      <c r="J50" s="3960"/>
      <c r="K50" s="3955"/>
      <c r="L50" s="3900" t="s">
        <v>90</v>
      </c>
      <c r="M50" s="3900" t="s">
        <v>146</v>
      </c>
      <c r="N50" s="3962" t="str">
        <f>IF(Z50="","",INDEX(TERRITORY_MR_LIST,MATCH(Z50,TERRITORY_LIST_ID,0)))</f>
        <v>Территория 11</v>
      </c>
      <c r="O50" s="3952" t="s">
        <v>53</v>
      </c>
      <c r="P50" s="3900"/>
      <c r="Q50" s="3900" t="s">
        <v>184</v>
      </c>
      <c r="R50" s="3954" t="s">
        <v>276</v>
      </c>
      <c r="S50" s="3899" t="s">
        <v>6</v>
      </c>
      <c r="T50" s="1707"/>
      <c r="U50" s="1707" t="s">
        <v>184</v>
      </c>
      <c r="V50" s="2006" t="s">
        <v>15</v>
      </c>
      <c r="W50" s="1697"/>
      <c r="Y50" s="1191"/>
      <c r="Z50" s="1191" t="s">
        <v>147</v>
      </c>
      <c r="AA50" s="1191"/>
      <c r="AB50" s="1191"/>
      <c r="AC50" s="1866" t="s">
        <v>230</v>
      </c>
      <c r="AD50" s="1866" t="s">
        <v>231</v>
      </c>
      <c r="AE50" s="1191" t="s">
        <v>277</v>
      </c>
      <c r="AF50" s="1191" t="s">
        <v>278</v>
      </c>
      <c r="AG50" s="1191" t="s">
        <v>279</v>
      </c>
      <c r="AH50"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0" s="1191" t="str">
        <f>IF($G$18=0,"",$G$18)</f>
        <v>Производство тепловой энергии. Некомбинированная выработка; Передача. Тепловая энергия; Сбыт. Тепловая энергия</v>
      </c>
      <c r="AJ50" s="1191" t="str">
        <f>IF($J$18=0,"",$J$18)</f>
        <v>Тариф на тепловую энергию (мощность), поставляемую потребителям</v>
      </c>
      <c r="AK50" s="1191" t="str">
        <f>IF($K$50="нет","без дифференциации",IF($N$50=0,"",$N$50))</f>
        <v>Территория 11</v>
      </c>
      <c r="AL50" s="1739" t="str">
        <f>IF($O$50="нет","без дифференциации",IF($R$50=0,"",$R$50))</f>
        <v>котельная д. Богородицкое</v>
      </c>
      <c r="AM50" s="1739" t="str">
        <f>IF($S$50="нет","без дифференциации",IF($V$50=0,"",$V$50))</f>
        <v>без дифференциации</v>
      </c>
      <c r="AN50" s="1191">
        <f>$I$18</f>
        <v>1</v>
      </c>
      <c r="AO50" s="1191" t="str">
        <f>$I$18&amp;"."&amp;$M$50</f>
        <v>1.11</v>
      </c>
      <c r="AP50" s="1191" t="str">
        <f>$I$18&amp;"."&amp;$M$50&amp;"."&amp;$Q$50</f>
        <v>1.11.1</v>
      </c>
      <c r="AQ50" s="1191" t="str">
        <f>$I$18&amp;"."&amp;$M$50&amp;"."&amp;$Q$50&amp;"."&amp;$U$50</f>
        <v>1.11.1.1</v>
      </c>
    </row>
    <row r="51" spans="1:44" ht="17.25" customHeight="1">
      <c r="A51" s="1735"/>
      <c r="B51" s="1748"/>
      <c r="C51" s="1740"/>
      <c r="D51" s="3938"/>
      <c r="E51" s="3941"/>
      <c r="F51" s="3925"/>
      <c r="G51" s="3942"/>
      <c r="H51" s="3938"/>
      <c r="I51" s="3938"/>
      <c r="J51" s="3960"/>
      <c r="K51" s="3955"/>
      <c r="L51" s="3900"/>
      <c r="M51" s="3900"/>
      <c r="N51" s="3962"/>
      <c r="O51" s="3953"/>
      <c r="P51" s="3900"/>
      <c r="Q51" s="3900"/>
      <c r="R51" s="3954"/>
      <c r="S51" s="3899"/>
      <c r="T51" s="252"/>
      <c r="U51" s="253"/>
      <c r="V51" s="253" t="s">
        <v>235</v>
      </c>
      <c r="W51" s="254"/>
      <c r="Y51" s="1183"/>
      <c r="Z51" s="1183"/>
      <c r="AA51" s="1183"/>
      <c r="AB51" s="1183"/>
      <c r="AC51" s="1183"/>
      <c r="AD51" s="1183"/>
      <c r="AE51" s="1183"/>
      <c r="AF51" s="1183"/>
      <c r="AG51" s="1183"/>
      <c r="AH51" s="1183"/>
      <c r="AI51" s="1183"/>
      <c r="AJ51" s="1183"/>
      <c r="AK51" s="1183"/>
      <c r="AL51" s="1748"/>
      <c r="AM51" s="1748"/>
      <c r="AN51" s="1748"/>
      <c r="AO51" s="1748"/>
      <c r="AP51" s="1748"/>
      <c r="AQ51" s="1748"/>
    </row>
    <row r="52" spans="1:44" ht="17.25" customHeight="1">
      <c r="A52" s="1735"/>
      <c r="B52" s="1748"/>
      <c r="C52" s="1737"/>
      <c r="D52" s="3938"/>
      <c r="E52" s="3941"/>
      <c r="F52" s="3925"/>
      <c r="G52" s="3942"/>
      <c r="H52" s="3938"/>
      <c r="I52" s="3938"/>
      <c r="J52" s="3960"/>
      <c r="K52" s="3955"/>
      <c r="L52" s="3964"/>
      <c r="M52" s="3964"/>
      <c r="N52" s="3965"/>
      <c r="O52" s="3953"/>
      <c r="P52" s="3900" t="s">
        <v>90</v>
      </c>
      <c r="Q52" s="3900" t="s">
        <v>89</v>
      </c>
      <c r="R52" s="3954" t="s">
        <v>280</v>
      </c>
      <c r="S52" s="3899" t="s">
        <v>6</v>
      </c>
      <c r="T52" s="1707"/>
      <c r="U52" s="1707" t="s">
        <v>184</v>
      </c>
      <c r="V52" s="2006" t="s">
        <v>15</v>
      </c>
      <c r="W52" s="1697"/>
      <c r="Y52" s="1191"/>
      <c r="Z52" s="1191"/>
      <c r="AA52" s="1191"/>
      <c r="AB52" s="1191"/>
      <c r="AC52" s="1866" t="s">
        <v>230</v>
      </c>
      <c r="AD52" s="1866" t="s">
        <v>231</v>
      </c>
      <c r="AE52" s="1866" t="s">
        <v>277</v>
      </c>
      <c r="AF52" s="1191" t="s">
        <v>281</v>
      </c>
      <c r="AG52" s="1191" t="s">
        <v>282</v>
      </c>
      <c r="AH52"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2" s="1191" t="str">
        <f>IF($G$18=0,"",$G$18)</f>
        <v>Производство тепловой энергии. Некомбинированная выработка; Передача. Тепловая энергия; Сбыт. Тепловая энергия</v>
      </c>
      <c r="AJ52" s="1191" t="str">
        <f>IF($J$18=0,"",$J$18)</f>
        <v>Тариф на тепловую энергию (мощность), поставляемую потребителям</v>
      </c>
      <c r="AK52" s="1191" t="str">
        <f>IF($K$50="нет","без дифференциации",IF($N$50=0,"",$N$50))</f>
        <v>Территория 11</v>
      </c>
      <c r="AL52" s="1739" t="str">
        <f>IF($O$52="нет","без дифференциации",IF($R$52=0,"",$R$52))</f>
        <v xml:space="preserve">котельная  д. Сметанино
</v>
      </c>
      <c r="AM52" s="1739" t="str">
        <f>IF($S$52="нет","без дифференциации",IF($V$52=0,"",$V$52))</f>
        <v>без дифференциации</v>
      </c>
      <c r="AN52" s="1191">
        <f>$I$18</f>
        <v>1</v>
      </c>
      <c r="AO52" s="1191" t="str">
        <f>$I$18&amp;"."&amp;$M$50</f>
        <v>1.11</v>
      </c>
      <c r="AP52" s="1191" t="str">
        <f>$I$18&amp;"."&amp;$M$50&amp;"."&amp;$Q$52</f>
        <v>1.11.2</v>
      </c>
      <c r="AQ52" s="1191" t="str">
        <f>$I$18&amp;"."&amp;$M$50&amp;"."&amp;$Q$52&amp;"."&amp;$U$52</f>
        <v>1.11.2.1</v>
      </c>
    </row>
    <row r="53" spans="1:44" ht="17.25" customHeight="1">
      <c r="A53" s="1735"/>
      <c r="B53" s="1748"/>
      <c r="C53" s="1740"/>
      <c r="D53" s="3938"/>
      <c r="E53" s="3941"/>
      <c r="F53" s="3925"/>
      <c r="G53" s="3942"/>
      <c r="H53" s="3938"/>
      <c r="I53" s="3938"/>
      <c r="J53" s="3960"/>
      <c r="K53" s="3955"/>
      <c r="L53" s="3964"/>
      <c r="M53" s="3964"/>
      <c r="N53" s="3965"/>
      <c r="O53" s="3953"/>
      <c r="P53" s="3900"/>
      <c r="Q53" s="3900"/>
      <c r="R53" s="3954"/>
      <c r="S53" s="3899"/>
      <c r="T53" s="252"/>
      <c r="U53" s="253"/>
      <c r="V53" s="253" t="s">
        <v>235</v>
      </c>
      <c r="W53" s="254"/>
      <c r="Y53" s="1183"/>
      <c r="Z53" s="1183"/>
      <c r="AA53" s="1183"/>
      <c r="AB53" s="1183"/>
      <c r="AC53" s="1183"/>
      <c r="AD53" s="1183"/>
      <c r="AE53" s="1183"/>
      <c r="AF53" s="1183"/>
      <c r="AG53" s="1183"/>
      <c r="AH53" s="1183"/>
      <c r="AI53" s="1183"/>
      <c r="AJ53" s="1183"/>
      <c r="AK53" s="1183"/>
      <c r="AL53" s="1748"/>
      <c r="AM53" s="1748"/>
      <c r="AN53" s="1748"/>
      <c r="AO53" s="1748"/>
      <c r="AP53" s="1748"/>
      <c r="AQ53" s="1748"/>
    </row>
    <row r="54" spans="1:44" ht="17.25" customHeight="1">
      <c r="A54" s="1735"/>
      <c r="B54" s="1748"/>
      <c r="C54" s="1737"/>
      <c r="D54" s="3938"/>
      <c r="E54" s="3941"/>
      <c r="F54" s="3925"/>
      <c r="G54" s="3942"/>
      <c r="H54" s="3938"/>
      <c r="I54" s="3938"/>
      <c r="J54" s="3960"/>
      <c r="K54" s="3955"/>
      <c r="L54" s="3964"/>
      <c r="M54" s="3964"/>
      <c r="N54" s="3965"/>
      <c r="O54" s="3953"/>
      <c r="P54" s="3900" t="s">
        <v>90</v>
      </c>
      <c r="Q54" s="3900" t="s">
        <v>77</v>
      </c>
      <c r="R54" s="3954" t="s">
        <v>283</v>
      </c>
      <c r="S54" s="3899" t="s">
        <v>6</v>
      </c>
      <c r="T54" s="1707"/>
      <c r="U54" s="1707" t="s">
        <v>184</v>
      </c>
      <c r="V54" s="2006" t="s">
        <v>15</v>
      </c>
      <c r="W54" s="1697"/>
      <c r="Y54" s="1191"/>
      <c r="Z54" s="1191"/>
      <c r="AA54" s="1191"/>
      <c r="AB54" s="1191"/>
      <c r="AC54" s="1866" t="s">
        <v>230</v>
      </c>
      <c r="AD54" s="1866" t="s">
        <v>231</v>
      </c>
      <c r="AE54" s="1866" t="s">
        <v>277</v>
      </c>
      <c r="AF54" s="1191" t="s">
        <v>284</v>
      </c>
      <c r="AG54" s="1191" t="s">
        <v>285</v>
      </c>
      <c r="AH54" s="1191"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54" s="1191" t="str">
        <f>IF($G$18=0,"",$G$18)</f>
        <v>Производство тепловой энергии. Некомбинированная выработка; Передача. Тепловая энергия; Сбыт. Тепловая энергия</v>
      </c>
      <c r="AJ54" s="1191" t="str">
        <f>IF($J$18=0,"",$J$18)</f>
        <v>Тариф на тепловую энергию (мощность), поставляемую потребителям</v>
      </c>
      <c r="AK54" s="1191" t="str">
        <f>IF($K$50="нет","без дифференциации",IF($N$50=0,"",$N$50))</f>
        <v>Территория 11</v>
      </c>
      <c r="AL54" s="1739" t="str">
        <f>IF($O$54="нет","без дифференциации",IF($R$54=0,"",$R$54))</f>
        <v xml:space="preserve">котельная   с. Талашкино
</v>
      </c>
      <c r="AM54" s="1739" t="str">
        <f>IF($S$54="нет","без дифференциации",IF($V$54=0,"",$V$54))</f>
        <v>без дифференциации</v>
      </c>
      <c r="AN54" s="1191">
        <f>$I$18</f>
        <v>1</v>
      </c>
      <c r="AO54" s="1191" t="str">
        <f>$I$18&amp;"."&amp;$M$50</f>
        <v>1.11</v>
      </c>
      <c r="AP54" s="1191" t="str">
        <f>$I$18&amp;"."&amp;$M$50&amp;"."&amp;$Q$54</f>
        <v>1.11.3</v>
      </c>
      <c r="AQ54" s="1191" t="str">
        <f>$I$18&amp;"."&amp;$M$50&amp;"."&amp;$Q$54&amp;"."&amp;$U$54</f>
        <v>1.11.3.1</v>
      </c>
    </row>
    <row r="55" spans="1:44" ht="17.25" customHeight="1">
      <c r="A55" s="1735"/>
      <c r="B55" s="1748"/>
      <c r="C55" s="1740"/>
      <c r="D55" s="3938"/>
      <c r="E55" s="3941"/>
      <c r="F55" s="3925"/>
      <c r="G55" s="3942"/>
      <c r="H55" s="3938"/>
      <c r="I55" s="3938"/>
      <c r="J55" s="3960"/>
      <c r="K55" s="3955"/>
      <c r="L55" s="3964"/>
      <c r="M55" s="3964"/>
      <c r="N55" s="3965"/>
      <c r="O55" s="3953"/>
      <c r="P55" s="3900"/>
      <c r="Q55" s="3900"/>
      <c r="R55" s="3954"/>
      <c r="S55" s="3899"/>
      <c r="T55" s="252"/>
      <c r="U55" s="253"/>
      <c r="V55" s="253" t="s">
        <v>235</v>
      </c>
      <c r="W55" s="254"/>
      <c r="Y55" s="1183"/>
      <c r="Z55" s="1183"/>
      <c r="AA55" s="1183"/>
      <c r="AB55" s="1183"/>
      <c r="AC55" s="1183"/>
      <c r="AD55" s="1183"/>
      <c r="AE55" s="1183"/>
      <c r="AF55" s="1183"/>
      <c r="AG55" s="1183"/>
      <c r="AH55" s="1183"/>
      <c r="AI55" s="1183"/>
      <c r="AJ55" s="1183"/>
      <c r="AK55" s="1183"/>
      <c r="AL55" s="1748"/>
      <c r="AM55" s="1748"/>
      <c r="AN55" s="1748"/>
      <c r="AO55" s="1748"/>
      <c r="AP55" s="1748"/>
      <c r="AQ55" s="1748"/>
    </row>
    <row r="56" spans="1:44" ht="17.25" customHeight="1">
      <c r="A56" s="1735"/>
      <c r="B56" s="1748"/>
      <c r="C56" s="1740"/>
      <c r="D56" s="3938"/>
      <c r="E56" s="3941"/>
      <c r="F56" s="3925"/>
      <c r="G56" s="3942"/>
      <c r="H56" s="3938"/>
      <c r="I56" s="3938"/>
      <c r="J56" s="3960"/>
      <c r="K56" s="3955"/>
      <c r="L56" s="3923"/>
      <c r="M56" s="3923"/>
      <c r="N56" s="3963"/>
      <c r="O56" s="3904"/>
      <c r="P56" s="252"/>
      <c r="Q56" s="253"/>
      <c r="R56" s="253" t="s">
        <v>236</v>
      </c>
      <c r="S56" s="1741"/>
      <c r="T56" s="1741"/>
      <c r="U56" s="1741"/>
      <c r="V56" s="1741"/>
      <c r="W56" s="254"/>
      <c r="Y56" s="1183"/>
      <c r="Z56" s="1183"/>
      <c r="AA56" s="1183"/>
      <c r="AB56" s="1183"/>
      <c r="AC56" s="1183"/>
      <c r="AD56" s="1183"/>
      <c r="AE56" s="1183"/>
      <c r="AF56" s="1183"/>
      <c r="AG56" s="1183"/>
      <c r="AH56" s="1183"/>
      <c r="AI56" s="1183"/>
      <c r="AJ56" s="1183"/>
      <c r="AK56" s="1183"/>
      <c r="AL56" s="1748"/>
      <c r="AM56" s="1748"/>
      <c r="AN56" s="1748"/>
      <c r="AO56" s="1748"/>
      <c r="AP56" s="1748"/>
      <c r="AQ56" s="1748"/>
    </row>
    <row r="57" spans="1:44" s="1748" customFormat="1" ht="17.25" customHeight="1">
      <c r="A57" s="256"/>
      <c r="C57" s="255"/>
      <c r="D57" s="3923"/>
      <c r="E57" s="3940"/>
      <c r="F57" s="3925"/>
      <c r="G57" s="3931"/>
      <c r="H57" s="3923"/>
      <c r="I57" s="3923"/>
      <c r="J57" s="3959"/>
      <c r="K57" s="3904"/>
      <c r="L57" s="2007"/>
      <c r="M57" s="2008"/>
      <c r="N57" s="2009" t="s">
        <v>286</v>
      </c>
      <c r="O57" s="2010"/>
      <c r="P57" s="2011"/>
      <c r="Q57" s="2012"/>
      <c r="R57" s="2013"/>
      <c r="S57" s="2014"/>
      <c r="T57" s="2015"/>
      <c r="U57" s="2016"/>
      <c r="V57" s="2017"/>
      <c r="W57" s="2018"/>
      <c r="X57" s="1183"/>
      <c r="Y57" s="1183"/>
      <c r="Z57" s="1183"/>
      <c r="AA57" s="1183"/>
      <c r="AB57" s="1183"/>
      <c r="AC57" s="1183"/>
      <c r="AD57" s="1183"/>
      <c r="AE57" s="1183"/>
      <c r="AF57" s="1183"/>
      <c r="AG57" s="1183"/>
      <c r="AH57" s="1183"/>
      <c r="AI57" s="1183"/>
      <c r="AJ57" s="1183"/>
      <c r="AK57" s="1183"/>
      <c r="AL57" s="1183"/>
      <c r="AM57" s="1183"/>
      <c r="AN57" s="1183"/>
      <c r="AO57" s="1183"/>
      <c r="AP57" s="1183"/>
      <c r="AQ57" s="1183"/>
      <c r="AR57" s="1207">
        <v>0</v>
      </c>
    </row>
    <row r="58" spans="1:44" s="1748" customFormat="1" ht="17.25" customHeight="1">
      <c r="A58" s="256"/>
      <c r="C58" s="255"/>
      <c r="D58" s="3923"/>
      <c r="E58" s="3940"/>
      <c r="F58" s="3926"/>
      <c r="G58" s="3931"/>
      <c r="H58" s="2019"/>
      <c r="I58" s="2020"/>
      <c r="J58" s="2021" t="s">
        <v>287</v>
      </c>
      <c r="K58" s="2022"/>
      <c r="L58" s="2023"/>
      <c r="M58" s="2024"/>
      <c r="N58" s="2025"/>
      <c r="O58" s="2026"/>
      <c r="P58" s="2027"/>
      <c r="Q58" s="2028"/>
      <c r="R58" s="2029"/>
      <c r="S58" s="2030"/>
      <c r="T58" s="2031"/>
      <c r="U58" s="2032"/>
      <c r="V58" s="2033"/>
      <c r="W58" s="2034"/>
      <c r="X58" s="1183"/>
      <c r="Y58" s="1183"/>
      <c r="Z58" s="1183"/>
      <c r="AA58" s="1183"/>
      <c r="AB58" s="1183"/>
      <c r="AC58" s="1183"/>
      <c r="AD58" s="1183"/>
      <c r="AE58" s="1183"/>
      <c r="AF58" s="1183"/>
      <c r="AG58" s="1183"/>
      <c r="AH58" s="1183"/>
      <c r="AI58" s="1183"/>
      <c r="AJ58" s="1183"/>
      <c r="AK58" s="1183"/>
      <c r="AL58" s="1183"/>
      <c r="AM58" s="1183"/>
      <c r="AN58" s="1183"/>
      <c r="AO58" s="1183"/>
      <c r="AP58" s="1183"/>
      <c r="AQ58" s="1183"/>
      <c r="AR58" s="1207">
        <v>0</v>
      </c>
    </row>
    <row r="59" spans="1:44" s="1748" customFormat="1" ht="17.25" hidden="1" customHeight="1">
      <c r="A59" s="256"/>
      <c r="C59" s="144"/>
      <c r="D59" s="3922">
        <v>2</v>
      </c>
      <c r="E59" s="3911" t="s">
        <v>288</v>
      </c>
      <c r="F59" s="3924" t="s">
        <v>6</v>
      </c>
      <c r="G59" s="3911"/>
      <c r="H59" s="3913"/>
      <c r="I59" s="3915"/>
      <c r="J59" s="3917"/>
      <c r="K59" s="3909"/>
      <c r="L59" s="3909"/>
      <c r="M59" s="3909"/>
      <c r="N59" s="3920"/>
      <c r="O59" s="3909"/>
      <c r="P59" s="3909"/>
      <c r="Q59" s="3909"/>
      <c r="R59" s="3907"/>
      <c r="S59" s="3909"/>
      <c r="T59" s="1890"/>
      <c r="U59" s="1890"/>
      <c r="V59" s="1892"/>
      <c r="W59" s="1220"/>
      <c r="X59" s="1191"/>
      <c r="Y59" s="1191"/>
      <c r="Z59" s="1191" t="s">
        <v>15</v>
      </c>
      <c r="AA59" s="1191" t="s">
        <v>15</v>
      </c>
      <c r="AB59" s="1191" t="s">
        <v>15</v>
      </c>
      <c r="AC59" s="1191" t="s">
        <v>15</v>
      </c>
      <c r="AD59" s="1191" t="s">
        <v>15</v>
      </c>
      <c r="AE59" s="1191" t="s">
        <v>15</v>
      </c>
      <c r="AF59" s="1191" t="s">
        <v>15</v>
      </c>
      <c r="AG59" s="1191" t="s">
        <v>15</v>
      </c>
      <c r="AH59" s="1191" t="s">
        <v>15</v>
      </c>
      <c r="AI59" s="1191" t="s">
        <v>15</v>
      </c>
      <c r="AJ59" s="1191" t="s">
        <v>15</v>
      </c>
      <c r="AK59" s="1191" t="s">
        <v>15</v>
      </c>
      <c r="AL59" s="1191" t="s">
        <v>15</v>
      </c>
      <c r="AM59" s="1191" t="s">
        <v>15</v>
      </c>
      <c r="AN59" s="1668" t="s">
        <v>15</v>
      </c>
      <c r="AO59" s="1191" t="s">
        <v>15</v>
      </c>
      <c r="AP59" s="1190" t="s">
        <v>15</v>
      </c>
      <c r="AQ59" s="1190" t="s">
        <v>15</v>
      </c>
      <c r="AR59" s="1391">
        <v>0</v>
      </c>
    </row>
    <row r="60" spans="1:44" s="1748" customFormat="1" ht="17.25" hidden="1" customHeight="1">
      <c r="A60" s="256"/>
      <c r="C60" s="255"/>
      <c r="D60" s="3922"/>
      <c r="E60" s="3911"/>
      <c r="F60" s="3925"/>
      <c r="G60" s="3911"/>
      <c r="H60" s="3914"/>
      <c r="I60" s="3916"/>
      <c r="J60" s="3918"/>
      <c r="K60" s="3910"/>
      <c r="L60" s="3910"/>
      <c r="M60" s="3910"/>
      <c r="N60" s="3921"/>
      <c r="O60" s="3910"/>
      <c r="P60" s="3910"/>
      <c r="Q60" s="3910"/>
      <c r="R60" s="3908"/>
      <c r="S60" s="3910"/>
      <c r="T60" s="1895"/>
      <c r="U60" s="1895"/>
      <c r="V60" s="1895"/>
      <c r="W60" s="1896"/>
      <c r="X60" s="1190"/>
      <c r="Y60" s="1190"/>
      <c r="Z60" s="1190"/>
      <c r="AA60" s="1190"/>
      <c r="AB60" s="1190"/>
      <c r="AC60" s="1190"/>
      <c r="AD60" s="1190"/>
      <c r="AE60" s="1190"/>
      <c r="AF60" s="1190"/>
      <c r="AG60" s="1190"/>
      <c r="AH60" s="1190"/>
      <c r="AI60" s="1190"/>
      <c r="AJ60" s="1190"/>
      <c r="AK60" s="1190"/>
      <c r="AL60" s="1190"/>
      <c r="AM60" s="1190"/>
      <c r="AN60" s="1190"/>
      <c r="AO60" s="1190"/>
      <c r="AP60" s="1190"/>
      <c r="AQ60" s="1190"/>
      <c r="AR60" s="1391">
        <v>0</v>
      </c>
    </row>
    <row r="61" spans="1:44" s="1748" customFormat="1" ht="17.25" hidden="1" customHeight="1">
      <c r="A61" s="256"/>
      <c r="C61" s="255"/>
      <c r="D61" s="3923"/>
      <c r="E61" s="3912"/>
      <c r="F61" s="3925"/>
      <c r="G61" s="3912"/>
      <c r="H61" s="3914"/>
      <c r="I61" s="3916"/>
      <c r="J61" s="3919"/>
      <c r="K61" s="3910"/>
      <c r="L61" s="3910"/>
      <c r="M61" s="3910"/>
      <c r="N61" s="3908"/>
      <c r="O61" s="3910"/>
      <c r="P61" s="1891"/>
      <c r="Q61" s="1895"/>
      <c r="R61" s="1895"/>
      <c r="S61" s="264"/>
      <c r="T61" s="264"/>
      <c r="U61" s="264"/>
      <c r="V61" s="264"/>
      <c r="W61" s="1896"/>
      <c r="X61" s="1190"/>
      <c r="Y61" s="1190"/>
      <c r="Z61" s="1190"/>
      <c r="AA61" s="1190"/>
      <c r="AB61" s="1190"/>
      <c r="AC61" s="1190"/>
      <c r="AD61" s="1190"/>
      <c r="AE61" s="1190"/>
      <c r="AF61" s="1190"/>
      <c r="AG61" s="1190"/>
      <c r="AH61" s="1190"/>
      <c r="AI61" s="1190"/>
      <c r="AJ61" s="1190"/>
      <c r="AK61" s="1190"/>
      <c r="AL61" s="1190"/>
      <c r="AM61" s="1190"/>
      <c r="AN61" s="1190"/>
      <c r="AO61" s="1190"/>
      <c r="AP61" s="1190"/>
      <c r="AQ61" s="1190"/>
      <c r="AR61" s="1391">
        <v>0</v>
      </c>
    </row>
    <row r="62" spans="1:44" s="1748" customFormat="1" ht="17.25" hidden="1" customHeight="1">
      <c r="A62" s="256"/>
      <c r="C62" s="255"/>
      <c r="D62" s="3923"/>
      <c r="E62" s="3912"/>
      <c r="F62" s="3925"/>
      <c r="G62" s="3912"/>
      <c r="H62" s="3914"/>
      <c r="I62" s="3916"/>
      <c r="J62" s="3919"/>
      <c r="K62" s="3910"/>
      <c r="L62" s="1895"/>
      <c r="M62" s="1895"/>
      <c r="N62" s="1895"/>
      <c r="O62" s="1895"/>
      <c r="P62" s="1895"/>
      <c r="Q62" s="1895"/>
      <c r="R62" s="1895"/>
      <c r="S62" s="264"/>
      <c r="T62" s="264"/>
      <c r="U62" s="264"/>
      <c r="V62" s="264"/>
      <c r="W62" s="1896"/>
      <c r="X62" s="1190"/>
      <c r="Y62" s="1190"/>
      <c r="Z62" s="1190"/>
      <c r="AA62" s="1190"/>
      <c r="AB62" s="1190"/>
      <c r="AC62" s="1190"/>
      <c r="AD62" s="1190"/>
      <c r="AE62" s="1190"/>
      <c r="AF62" s="1190"/>
      <c r="AG62" s="1190"/>
      <c r="AH62" s="1190"/>
      <c r="AI62" s="1190"/>
      <c r="AJ62" s="1190"/>
      <c r="AK62" s="1190"/>
      <c r="AL62" s="1190"/>
      <c r="AM62" s="1190"/>
      <c r="AN62" s="1190"/>
      <c r="AO62" s="1190"/>
      <c r="AP62" s="1190"/>
      <c r="AQ62" s="1190"/>
      <c r="AR62" s="1391">
        <v>0</v>
      </c>
    </row>
    <row r="63" spans="1:44" s="1748" customFormat="1" ht="17.25" hidden="1" customHeight="1">
      <c r="A63" s="256"/>
      <c r="C63" s="255"/>
      <c r="D63" s="3923"/>
      <c r="E63" s="3912"/>
      <c r="F63" s="3926"/>
      <c r="G63" s="3912"/>
      <c r="H63" s="1223"/>
      <c r="I63" s="1893"/>
      <c r="J63" s="1893"/>
      <c r="K63" s="1893"/>
      <c r="L63" s="1893"/>
      <c r="M63" s="1893"/>
      <c r="N63" s="1893"/>
      <c r="O63" s="1893"/>
      <c r="P63" s="1893"/>
      <c r="Q63" s="1893"/>
      <c r="R63" s="1893"/>
      <c r="S63" s="1225"/>
      <c r="T63" s="1225"/>
      <c r="U63" s="1225"/>
      <c r="V63" s="1225"/>
      <c r="W63" s="1894"/>
      <c r="X63" s="1190"/>
      <c r="Y63" s="1190"/>
      <c r="Z63" s="1190"/>
      <c r="AA63" s="1190"/>
      <c r="AB63" s="1190"/>
      <c r="AC63" s="1190"/>
      <c r="AD63" s="1190"/>
      <c r="AE63" s="1190"/>
      <c r="AF63" s="1190"/>
      <c r="AG63" s="1190"/>
      <c r="AH63" s="1190"/>
      <c r="AI63" s="1190"/>
      <c r="AJ63" s="1190"/>
      <c r="AK63" s="1190"/>
      <c r="AL63" s="1190"/>
      <c r="AM63" s="1190"/>
      <c r="AN63" s="1190"/>
      <c r="AO63" s="1190"/>
      <c r="AP63" s="1190"/>
      <c r="AQ63" s="1190"/>
      <c r="AR63" s="1391">
        <v>0</v>
      </c>
    </row>
    <row r="64" spans="1:44" s="1748" customFormat="1" ht="17.25" customHeight="1">
      <c r="A64" s="256"/>
      <c r="C64" s="144"/>
      <c r="D64" s="3922">
        <v>3</v>
      </c>
      <c r="E64" s="3911" t="s">
        <v>289</v>
      </c>
      <c r="F64" s="3924" t="s">
        <v>53</v>
      </c>
      <c r="G64" s="3930" t="str">
        <f>INDEX(VD_NAME_LIST,MATCH("4190067",VD_ID_LIST,0))&amp;"; "&amp;INDEX(VD_NAME_LIST,MATCH("4190069",VD_ID_LIST,0))&amp;"; "&amp;INDEX(VD_NAME_LIST,MATCH("4190071",VD_ID_LIST,0))</f>
        <v>Производство. Теплоноситель; Передача. Теплоноситель; Сбыт. Теплоноситель</v>
      </c>
      <c r="H64" s="3961"/>
      <c r="I64" s="3961">
        <v>1</v>
      </c>
      <c r="J64" s="3958" t="s">
        <v>290</v>
      </c>
      <c r="K64" s="3952" t="s">
        <v>53</v>
      </c>
      <c r="L64" s="3900"/>
      <c r="M64" s="3900" t="s">
        <v>184</v>
      </c>
      <c r="N64" s="3962" t="str">
        <f>IF(Z64="","",INDEX(TERRITORY_MR_LIST,MATCH(Z64,TERRITORY_LIST_ID,0)))</f>
        <v>Территория 1</v>
      </c>
      <c r="O64" s="3952" t="s">
        <v>53</v>
      </c>
      <c r="P64" s="3900"/>
      <c r="Q64" s="3900" t="s">
        <v>184</v>
      </c>
      <c r="R64" s="3954" t="s">
        <v>228</v>
      </c>
      <c r="S64" s="3899" t="s">
        <v>6</v>
      </c>
      <c r="T64" s="1969"/>
      <c r="U64" s="1969" t="s">
        <v>184</v>
      </c>
      <c r="V64" s="1993" t="s">
        <v>15</v>
      </c>
      <c r="W64" s="1977"/>
      <c r="X64" s="1191"/>
      <c r="Y64" s="1191"/>
      <c r="Z64" s="1191" t="s">
        <v>85</v>
      </c>
      <c r="AA64" s="1191"/>
      <c r="AB64" s="1191" t="s">
        <v>291</v>
      </c>
      <c r="AC64" s="1191" t="s">
        <v>292</v>
      </c>
      <c r="AD64" s="1191" t="s">
        <v>293</v>
      </c>
      <c r="AE64" s="1191" t="s">
        <v>294</v>
      </c>
      <c r="AF64" s="1191" t="s">
        <v>295</v>
      </c>
      <c r="AG64" s="1191" t="s">
        <v>296</v>
      </c>
      <c r="AH64" s="1191" t="str">
        <f>IF($E$64=0,"",$E$64)</f>
        <v>Тарифы на теплоноситель, поставляемый теплоснабжающими организациями потребителям, другим теплоснабжающим организациям</v>
      </c>
      <c r="AI64" s="1191" t="str">
        <f>IF($G$64=0,"",$G$64)</f>
        <v>Производство. Теплоноситель; Передача. Теплоноситель; Сбыт. Теплоноситель</v>
      </c>
      <c r="AJ64" s="1191" t="str">
        <f>IF($J$64=0,"",$J$64)</f>
        <v>Тариф на теплоноситель, посталяемый потребителям</v>
      </c>
      <c r="AK64" s="1191" t="str">
        <f>IF($K$64="нет","без дифференциации",IF($N$64=0,"",$N$64))</f>
        <v>Территория 1</v>
      </c>
      <c r="AL64" s="1191" t="str">
        <f>IF($O$64="нет","без дифференциации",IF($R$64=0,"",$R$64))</f>
        <v>котельная г. Вязьма, ул. Московская</v>
      </c>
      <c r="AM64" s="1191" t="str">
        <f>IF($S$64="нет","без дифференциации",IF($V$64=0,"",$V$64))</f>
        <v>без дифференциации</v>
      </c>
      <c r="AN64" s="1668">
        <f>$I$64</f>
        <v>1</v>
      </c>
      <c r="AO64" s="1191" t="str">
        <f>$I$64&amp;"."&amp;$M$64</f>
        <v>1.1</v>
      </c>
      <c r="AP64" s="1183" t="str">
        <f>$I$64&amp;"."&amp;$M$64&amp;"."&amp;$Q$64</f>
        <v>1.1.1</v>
      </c>
      <c r="AQ64" s="1183" t="str">
        <f>$I$64&amp;"."&amp;$M$64&amp;"."&amp;$Q$64&amp;"."&amp;$U$64</f>
        <v>1.1.1.1</v>
      </c>
      <c r="AR64" s="1207">
        <v>0</v>
      </c>
    </row>
    <row r="65" spans="1:44" s="1748" customFormat="1" ht="17.25" customHeight="1">
      <c r="A65" s="256"/>
      <c r="C65" s="255"/>
      <c r="D65" s="3922"/>
      <c r="E65" s="3911"/>
      <c r="F65" s="3925"/>
      <c r="G65" s="3930"/>
      <c r="H65" s="3961"/>
      <c r="I65" s="3961"/>
      <c r="J65" s="3958"/>
      <c r="K65" s="3953"/>
      <c r="L65" s="3900"/>
      <c r="M65" s="3900"/>
      <c r="N65" s="3962"/>
      <c r="O65" s="3953"/>
      <c r="P65" s="3900"/>
      <c r="Q65" s="3900"/>
      <c r="R65" s="3954"/>
      <c r="S65" s="3899"/>
      <c r="T65" s="2035"/>
      <c r="U65" s="2036"/>
      <c r="V65" s="2037" t="s">
        <v>235</v>
      </c>
      <c r="W65" s="2038"/>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207">
        <v>0</v>
      </c>
    </row>
    <row r="66" spans="1:44" s="1748" customFormat="1" ht="17.25" customHeight="1">
      <c r="A66" s="256"/>
      <c r="C66" s="255"/>
      <c r="D66" s="3923"/>
      <c r="E66" s="3912"/>
      <c r="F66" s="3925"/>
      <c r="G66" s="3931"/>
      <c r="H66" s="3923"/>
      <c r="I66" s="3923"/>
      <c r="J66" s="3959"/>
      <c r="K66" s="3953"/>
      <c r="L66" s="3923"/>
      <c r="M66" s="3923"/>
      <c r="N66" s="3963"/>
      <c r="O66" s="3904"/>
      <c r="P66" s="2039"/>
      <c r="Q66" s="2040"/>
      <c r="R66" s="2041" t="s">
        <v>236</v>
      </c>
      <c r="S66" s="2042"/>
      <c r="T66" s="2043"/>
      <c r="U66" s="2044"/>
      <c r="V66" s="2045"/>
      <c r="W66" s="2046"/>
      <c r="X66" s="1183"/>
      <c r="Y66" s="1183"/>
      <c r="Z66" s="1183"/>
      <c r="AA66" s="1183"/>
      <c r="AB66" s="1183"/>
      <c r="AC66" s="1183"/>
      <c r="AD66" s="1183"/>
      <c r="AE66" s="1183"/>
      <c r="AF66" s="1183"/>
      <c r="AG66" s="1183"/>
      <c r="AH66" s="1183"/>
      <c r="AI66" s="1183"/>
      <c r="AJ66" s="1183"/>
      <c r="AK66" s="1183"/>
      <c r="AL66" s="1183"/>
      <c r="AM66" s="1183"/>
      <c r="AN66" s="1183"/>
      <c r="AO66" s="1183"/>
      <c r="AP66" s="1183"/>
      <c r="AQ66" s="1183"/>
      <c r="AR66" s="1207">
        <v>0</v>
      </c>
    </row>
    <row r="67" spans="1:44" ht="17.25" customHeight="1">
      <c r="A67" s="1735"/>
      <c r="B67" s="1748"/>
      <c r="C67" s="1737"/>
      <c r="D67" s="3938"/>
      <c r="E67" s="3941"/>
      <c r="F67" s="3925"/>
      <c r="G67" s="3942"/>
      <c r="H67" s="3938"/>
      <c r="I67" s="3938"/>
      <c r="J67" s="3960"/>
      <c r="K67" s="3955"/>
      <c r="L67" s="3900" t="s">
        <v>90</v>
      </c>
      <c r="M67" s="3900" t="s">
        <v>89</v>
      </c>
      <c r="N67" s="3962" t="str">
        <f>IF(Z67="","",INDEX(TERRITORY_MR_LIST,MATCH(Z67,TERRITORY_LIST_ID,0)))</f>
        <v>Территория 12</v>
      </c>
      <c r="O67" s="3952" t="s">
        <v>53</v>
      </c>
      <c r="P67" s="3900"/>
      <c r="Q67" s="3900" t="s">
        <v>184</v>
      </c>
      <c r="R67" s="3954" t="s">
        <v>297</v>
      </c>
      <c r="S67" s="3899" t="s">
        <v>6</v>
      </c>
      <c r="T67" s="1707"/>
      <c r="U67" s="1707" t="s">
        <v>184</v>
      </c>
      <c r="V67" s="2006" t="s">
        <v>15</v>
      </c>
      <c r="W67" s="1697"/>
      <c r="Y67" s="1191"/>
      <c r="Z67" s="1191" t="s">
        <v>152</v>
      </c>
      <c r="AA67" s="1191"/>
      <c r="AB67" s="1191"/>
      <c r="AC67" s="1866" t="s">
        <v>292</v>
      </c>
      <c r="AD67" s="1866" t="s">
        <v>293</v>
      </c>
      <c r="AE67" s="1191" t="s">
        <v>298</v>
      </c>
      <c r="AF67" s="1191" t="s">
        <v>299</v>
      </c>
      <c r="AG67" s="1191" t="s">
        <v>300</v>
      </c>
      <c r="AH67" s="1191" t="str">
        <f>IF($E$64=0,"",$E$64)</f>
        <v>Тарифы на теплоноситель, поставляемый теплоснабжающими организациями потребителям, другим теплоснабжающим организациям</v>
      </c>
      <c r="AI67" s="1191" t="str">
        <f>IF($G$64=0,"",$G$64)</f>
        <v>Производство. Теплоноситель; Передача. Теплоноситель; Сбыт. Теплоноситель</v>
      </c>
      <c r="AJ67" s="1191" t="str">
        <f>IF($J$64=0,"",$J$64)</f>
        <v>Тариф на теплоноситель, посталяемый потребителям</v>
      </c>
      <c r="AK67" s="1191" t="str">
        <f>IF($K$67="нет","без дифференциации",IF($N$67=0,"",$N$67))</f>
        <v>Территория 12</v>
      </c>
      <c r="AL67" s="1739" t="str">
        <f>IF($O$67="нет","без дифференциации",IF($R$67=0,"",$R$67))</f>
        <v>Вяземский ТУ</v>
      </c>
      <c r="AM67" s="1739" t="str">
        <f>IF($S$67="нет","без дифференциации",IF($V$67=0,"",$V$67))</f>
        <v>без дифференциации</v>
      </c>
      <c r="AN67" s="1191">
        <f>$I$64</f>
        <v>1</v>
      </c>
      <c r="AO67" s="1191" t="str">
        <f>$I$64&amp;"."&amp;$M$67</f>
        <v>1.2</v>
      </c>
      <c r="AP67" s="1191" t="str">
        <f>$I$64&amp;"."&amp;$M$67&amp;"."&amp;$Q$67</f>
        <v>1.2.1</v>
      </c>
      <c r="AQ67" s="1191" t="str">
        <f>$I$64&amp;"."&amp;$M$67&amp;"."&amp;$Q$67&amp;"."&amp;$U$67</f>
        <v>1.2.1.1</v>
      </c>
    </row>
    <row r="68" spans="1:44" ht="17.25" customHeight="1">
      <c r="A68" s="1735"/>
      <c r="B68" s="1748"/>
      <c r="C68" s="1740"/>
      <c r="D68" s="3938"/>
      <c r="E68" s="3941"/>
      <c r="F68" s="3925"/>
      <c r="G68" s="3942"/>
      <c r="H68" s="3938"/>
      <c r="I68" s="3938"/>
      <c r="J68" s="3960"/>
      <c r="K68" s="3955"/>
      <c r="L68" s="3900"/>
      <c r="M68" s="3900"/>
      <c r="N68" s="3962"/>
      <c r="O68" s="3953"/>
      <c r="P68" s="3900"/>
      <c r="Q68" s="3900"/>
      <c r="R68" s="3954"/>
      <c r="S68" s="3899"/>
      <c r="T68" s="252"/>
      <c r="U68" s="253"/>
      <c r="V68" s="253" t="s">
        <v>235</v>
      </c>
      <c r="W68" s="254"/>
      <c r="Y68" s="1183"/>
      <c r="Z68" s="1183"/>
      <c r="AA68" s="1183"/>
      <c r="AB68" s="1183"/>
      <c r="AC68" s="1183"/>
      <c r="AD68" s="1183"/>
      <c r="AE68" s="1183"/>
      <c r="AF68" s="1183"/>
      <c r="AG68" s="1183"/>
      <c r="AH68" s="1183"/>
      <c r="AI68" s="1183"/>
      <c r="AJ68" s="1183"/>
      <c r="AK68" s="1183"/>
      <c r="AL68" s="1748"/>
      <c r="AM68" s="1748"/>
      <c r="AN68" s="1748"/>
      <c r="AO68" s="1748"/>
      <c r="AP68" s="1748"/>
      <c r="AQ68" s="1748"/>
    </row>
    <row r="69" spans="1:44" ht="17.25" customHeight="1">
      <c r="A69" s="1735"/>
      <c r="B69" s="1748"/>
      <c r="C69" s="1740"/>
      <c r="D69" s="3938"/>
      <c r="E69" s="3941"/>
      <c r="F69" s="3925"/>
      <c r="G69" s="3942"/>
      <c r="H69" s="3938"/>
      <c r="I69" s="3938"/>
      <c r="J69" s="3960"/>
      <c r="K69" s="3955"/>
      <c r="L69" s="3923"/>
      <c r="M69" s="3923"/>
      <c r="N69" s="3963"/>
      <c r="O69" s="3904"/>
      <c r="P69" s="252"/>
      <c r="Q69" s="253"/>
      <c r="R69" s="253" t="s">
        <v>236</v>
      </c>
      <c r="S69" s="1741"/>
      <c r="T69" s="1741"/>
      <c r="U69" s="1741"/>
      <c r="V69" s="1741"/>
      <c r="W69" s="254"/>
      <c r="Y69" s="1183"/>
      <c r="Z69" s="1183"/>
      <c r="AA69" s="1183"/>
      <c r="AB69" s="1183"/>
      <c r="AC69" s="1183"/>
      <c r="AD69" s="1183"/>
      <c r="AE69" s="1183"/>
      <c r="AF69" s="1183"/>
      <c r="AG69" s="1183"/>
      <c r="AH69" s="1183"/>
      <c r="AI69" s="1183"/>
      <c r="AJ69" s="1183"/>
      <c r="AK69" s="1183"/>
      <c r="AL69" s="1748"/>
      <c r="AM69" s="1748"/>
      <c r="AN69" s="1748"/>
      <c r="AO69" s="1748"/>
      <c r="AP69" s="1748"/>
      <c r="AQ69" s="1748"/>
    </row>
    <row r="70" spans="1:44" ht="17.25" customHeight="1">
      <c r="A70" s="1735"/>
      <c r="B70" s="1748"/>
      <c r="C70" s="1737"/>
      <c r="D70" s="3938"/>
      <c r="E70" s="3941"/>
      <c r="F70" s="3925"/>
      <c r="G70" s="3942"/>
      <c r="H70" s="3938"/>
      <c r="I70" s="3938"/>
      <c r="J70" s="3960"/>
      <c r="K70" s="3955"/>
      <c r="L70" s="3900" t="s">
        <v>90</v>
      </c>
      <c r="M70" s="3900" t="s">
        <v>77</v>
      </c>
      <c r="N70" s="3962" t="str">
        <f>IF(Z70="","",INDEX(TERRITORY_MR_LIST,MATCH(Z70,TERRITORY_LIST_ID,0)))</f>
        <v>Территория 13</v>
      </c>
      <c r="O70" s="3952" t="s">
        <v>53</v>
      </c>
      <c r="P70" s="3900"/>
      <c r="Q70" s="3900" t="s">
        <v>184</v>
      </c>
      <c r="R70" s="3954" t="s">
        <v>301</v>
      </c>
      <c r="S70" s="3899" t="s">
        <v>6</v>
      </c>
      <c r="T70" s="1707"/>
      <c r="U70" s="1707" t="s">
        <v>184</v>
      </c>
      <c r="V70" s="2006" t="s">
        <v>15</v>
      </c>
      <c r="W70" s="1697"/>
      <c r="Y70" s="1191"/>
      <c r="Z70" s="1191" t="s">
        <v>154</v>
      </c>
      <c r="AA70" s="1191"/>
      <c r="AB70" s="1191"/>
      <c r="AC70" s="1866" t="s">
        <v>292</v>
      </c>
      <c r="AD70" s="1866" t="s">
        <v>293</v>
      </c>
      <c r="AE70" s="1191" t="s">
        <v>302</v>
      </c>
      <c r="AF70" s="1191" t="s">
        <v>303</v>
      </c>
      <c r="AG70" s="1191" t="s">
        <v>304</v>
      </c>
      <c r="AH70" s="1191" t="str">
        <f>IF($E$64=0,"",$E$64)</f>
        <v>Тарифы на теплоноситель, поставляемый теплоснабжающими организациями потребителям, другим теплоснабжающим организациям</v>
      </c>
      <c r="AI70" s="1191" t="str">
        <f>IF($G$64=0,"",$G$64)</f>
        <v>Производство. Теплоноситель; Передача. Теплоноситель; Сбыт. Теплоноситель</v>
      </c>
      <c r="AJ70" s="1191" t="str">
        <f>IF($J$64=0,"",$J$64)</f>
        <v>Тариф на теплоноситель, посталяемый потребителям</v>
      </c>
      <c r="AK70" s="1191" t="str">
        <f>IF($K$70="нет","без дифференциации",IF($N$70=0,"",$N$70))</f>
        <v>Территория 13</v>
      </c>
      <c r="AL70" s="1739" t="str">
        <f>IF($O$70="нет","без дифференциации",IF($R$70=0,"",$R$70))</f>
        <v>Гагаринский ТУ</v>
      </c>
      <c r="AM70" s="1739" t="str">
        <f>IF($S$70="нет","без дифференциации",IF($V$70=0,"",$V$70))</f>
        <v>без дифференциации</v>
      </c>
      <c r="AN70" s="1191">
        <f>$I$64</f>
        <v>1</v>
      </c>
      <c r="AO70" s="1191" t="str">
        <f>$I$64&amp;"."&amp;$M$70</f>
        <v>1.3</v>
      </c>
      <c r="AP70" s="1191" t="str">
        <f>$I$64&amp;"."&amp;$M$70&amp;"."&amp;$Q$70</f>
        <v>1.3.1</v>
      </c>
      <c r="AQ70" s="1191" t="str">
        <f>$I$64&amp;"."&amp;$M$70&amp;"."&amp;$Q$70&amp;"."&amp;$U$70</f>
        <v>1.3.1.1</v>
      </c>
    </row>
    <row r="71" spans="1:44" ht="17.25" customHeight="1">
      <c r="A71" s="1735"/>
      <c r="B71" s="1748"/>
      <c r="C71" s="1740"/>
      <c r="D71" s="3938"/>
      <c r="E71" s="3941"/>
      <c r="F71" s="3925"/>
      <c r="G71" s="3942"/>
      <c r="H71" s="3938"/>
      <c r="I71" s="3938"/>
      <c r="J71" s="3960"/>
      <c r="K71" s="3955"/>
      <c r="L71" s="3900"/>
      <c r="M71" s="3900"/>
      <c r="N71" s="3962"/>
      <c r="O71" s="3953"/>
      <c r="P71" s="3900"/>
      <c r="Q71" s="3900"/>
      <c r="R71" s="3954"/>
      <c r="S71" s="3899"/>
      <c r="T71" s="252"/>
      <c r="U71" s="253"/>
      <c r="V71" s="253" t="s">
        <v>235</v>
      </c>
      <c r="W71" s="254"/>
      <c r="Y71" s="1183"/>
      <c r="Z71" s="1183"/>
      <c r="AA71" s="1183"/>
      <c r="AB71" s="1183"/>
      <c r="AC71" s="1183"/>
      <c r="AD71" s="1183"/>
      <c r="AE71" s="1183"/>
      <c r="AF71" s="1183"/>
      <c r="AG71" s="1183"/>
      <c r="AH71" s="1183"/>
      <c r="AI71" s="1183"/>
      <c r="AJ71" s="1183"/>
      <c r="AK71" s="1183"/>
      <c r="AL71" s="1748"/>
      <c r="AM71" s="1748"/>
      <c r="AN71" s="1748"/>
      <c r="AO71" s="1748"/>
      <c r="AP71" s="1748"/>
      <c r="AQ71" s="1748"/>
    </row>
    <row r="72" spans="1:44" ht="17.25" customHeight="1">
      <c r="A72" s="1735"/>
      <c r="B72" s="1748"/>
      <c r="C72" s="1740"/>
      <c r="D72" s="3938"/>
      <c r="E72" s="3941"/>
      <c r="F72" s="3925"/>
      <c r="G72" s="3942"/>
      <c r="H72" s="3938"/>
      <c r="I72" s="3938"/>
      <c r="J72" s="3960"/>
      <c r="K72" s="3955"/>
      <c r="L72" s="3923"/>
      <c r="M72" s="3923"/>
      <c r="N72" s="3963"/>
      <c r="O72" s="3904"/>
      <c r="P72" s="252"/>
      <c r="Q72" s="253"/>
      <c r="R72" s="253" t="s">
        <v>236</v>
      </c>
      <c r="S72" s="1741"/>
      <c r="T72" s="1741"/>
      <c r="U72" s="1741"/>
      <c r="V72" s="1741"/>
      <c r="W72" s="254"/>
      <c r="Y72" s="1183"/>
      <c r="Z72" s="1183"/>
      <c r="AA72" s="1183"/>
      <c r="AB72" s="1183"/>
      <c r="AC72" s="1183"/>
      <c r="AD72" s="1183"/>
      <c r="AE72" s="1183"/>
      <c r="AF72" s="1183"/>
      <c r="AG72" s="1183"/>
      <c r="AH72" s="1183"/>
      <c r="AI72" s="1183"/>
      <c r="AJ72" s="1183"/>
      <c r="AK72" s="1183"/>
      <c r="AL72" s="1748"/>
      <c r="AM72" s="1748"/>
      <c r="AN72" s="1748"/>
      <c r="AO72" s="1748"/>
      <c r="AP72" s="1748"/>
      <c r="AQ72" s="1748"/>
    </row>
    <row r="73" spans="1:44" ht="17.25" customHeight="1">
      <c r="A73" s="1735"/>
      <c r="B73" s="1748"/>
      <c r="C73" s="1737"/>
      <c r="D73" s="3938"/>
      <c r="E73" s="3941"/>
      <c r="F73" s="3925"/>
      <c r="G73" s="3942"/>
      <c r="H73" s="3938"/>
      <c r="I73" s="3938"/>
      <c r="J73" s="3960"/>
      <c r="K73" s="3955"/>
      <c r="L73" s="3900" t="s">
        <v>90</v>
      </c>
      <c r="M73" s="3900" t="s">
        <v>78</v>
      </c>
      <c r="N73" s="3962" t="str">
        <f>IF(Z73="","",INDEX(TERRITORY_MR_LIST,MATCH(Z73,TERRITORY_LIST_ID,0)))</f>
        <v>Территория 14</v>
      </c>
      <c r="O73" s="3952" t="s">
        <v>53</v>
      </c>
      <c r="P73" s="3900"/>
      <c r="Q73" s="3900" t="s">
        <v>184</v>
      </c>
      <c r="R73" s="3954" t="s">
        <v>305</v>
      </c>
      <c r="S73" s="3899" t="s">
        <v>6</v>
      </c>
      <c r="T73" s="1707"/>
      <c r="U73" s="1707" t="s">
        <v>184</v>
      </c>
      <c r="V73" s="2006" t="s">
        <v>15</v>
      </c>
      <c r="W73" s="1697"/>
      <c r="Y73" s="1191"/>
      <c r="Z73" s="1191" t="s">
        <v>156</v>
      </c>
      <c r="AA73" s="1191"/>
      <c r="AB73" s="1191"/>
      <c r="AC73" s="1866" t="s">
        <v>292</v>
      </c>
      <c r="AD73" s="1866" t="s">
        <v>293</v>
      </c>
      <c r="AE73" s="1191" t="s">
        <v>306</v>
      </c>
      <c r="AF73" s="1191" t="s">
        <v>307</v>
      </c>
      <c r="AG73" s="1191" t="s">
        <v>308</v>
      </c>
      <c r="AH73" s="1191" t="str">
        <f>IF($E$64=0,"",$E$64)</f>
        <v>Тарифы на теплоноситель, поставляемый теплоснабжающими организациями потребителям, другим теплоснабжающим организациям</v>
      </c>
      <c r="AI73" s="1191" t="str">
        <f>IF($G$64=0,"",$G$64)</f>
        <v>Производство. Теплоноситель; Передача. Теплоноситель; Сбыт. Теплоноситель</v>
      </c>
      <c r="AJ73" s="1191" t="str">
        <f>IF($J$64=0,"",$J$64)</f>
        <v>Тариф на теплоноситель, посталяемый потребителям</v>
      </c>
      <c r="AK73" s="1191" t="str">
        <f>IF($K$73="нет","без дифференциации",IF($N$73=0,"",$N$73))</f>
        <v>Территория 14</v>
      </c>
      <c r="AL73" s="1739" t="str">
        <f>IF($O$73="нет","без дифференциации",IF($R$73=0,"",$R$73))</f>
        <v>Новодугинский ТУ</v>
      </c>
      <c r="AM73" s="1739" t="str">
        <f>IF($S$73="нет","без дифференциации",IF($V$73=0,"",$V$73))</f>
        <v>без дифференциации</v>
      </c>
      <c r="AN73" s="1191">
        <f>$I$64</f>
        <v>1</v>
      </c>
      <c r="AO73" s="1191" t="str">
        <f>$I$64&amp;"."&amp;$M$73</f>
        <v>1.4</v>
      </c>
      <c r="AP73" s="1191" t="str">
        <f>$I$64&amp;"."&amp;$M$73&amp;"."&amp;$Q$73</f>
        <v>1.4.1</v>
      </c>
      <c r="AQ73" s="1191" t="str">
        <f>$I$64&amp;"."&amp;$M$73&amp;"."&amp;$Q$73&amp;"."&amp;$U$73</f>
        <v>1.4.1.1</v>
      </c>
    </row>
    <row r="74" spans="1:44" ht="17.25" customHeight="1">
      <c r="A74" s="1735"/>
      <c r="B74" s="1748"/>
      <c r="C74" s="1740"/>
      <c r="D74" s="3938"/>
      <c r="E74" s="3941"/>
      <c r="F74" s="3925"/>
      <c r="G74" s="3942"/>
      <c r="H74" s="3938"/>
      <c r="I74" s="3938"/>
      <c r="J74" s="3960"/>
      <c r="K74" s="3955"/>
      <c r="L74" s="3900"/>
      <c r="M74" s="3900"/>
      <c r="N74" s="3962"/>
      <c r="O74" s="3953"/>
      <c r="P74" s="3900"/>
      <c r="Q74" s="3900"/>
      <c r="R74" s="3954"/>
      <c r="S74" s="3899"/>
      <c r="T74" s="252"/>
      <c r="U74" s="253"/>
      <c r="V74" s="253" t="s">
        <v>235</v>
      </c>
      <c r="W74" s="254"/>
      <c r="Y74" s="1183"/>
      <c r="Z74" s="1183"/>
      <c r="AA74" s="1183"/>
      <c r="AB74" s="1183"/>
      <c r="AC74" s="1183"/>
      <c r="AD74" s="1183"/>
      <c r="AE74" s="1183"/>
      <c r="AF74" s="1183"/>
      <c r="AG74" s="1183"/>
      <c r="AH74" s="1183"/>
      <c r="AI74" s="1183"/>
      <c r="AJ74" s="1183"/>
      <c r="AK74" s="1183"/>
      <c r="AL74" s="1748"/>
      <c r="AM74" s="1748"/>
      <c r="AN74" s="1748"/>
      <c r="AO74" s="1748"/>
      <c r="AP74" s="1748"/>
      <c r="AQ74" s="1748"/>
    </row>
    <row r="75" spans="1:44" ht="17.25" customHeight="1">
      <c r="A75" s="1735"/>
      <c r="B75" s="1748"/>
      <c r="C75" s="1740"/>
      <c r="D75" s="3938"/>
      <c r="E75" s="3941"/>
      <c r="F75" s="3925"/>
      <c r="G75" s="3942"/>
      <c r="H75" s="3938"/>
      <c r="I75" s="3938"/>
      <c r="J75" s="3960"/>
      <c r="K75" s="3955"/>
      <c r="L75" s="3923"/>
      <c r="M75" s="3923"/>
      <c r="N75" s="3963"/>
      <c r="O75" s="3904"/>
      <c r="P75" s="252"/>
      <c r="Q75" s="253"/>
      <c r="R75" s="253" t="s">
        <v>236</v>
      </c>
      <c r="S75" s="1741"/>
      <c r="T75" s="1741"/>
      <c r="U75" s="1741"/>
      <c r="V75" s="1741"/>
      <c r="W75" s="254"/>
      <c r="Y75" s="1183"/>
      <c r="Z75" s="1183"/>
      <c r="AA75" s="1183"/>
      <c r="AB75" s="1183"/>
      <c r="AC75" s="1183"/>
      <c r="AD75" s="1183"/>
      <c r="AE75" s="1183"/>
      <c r="AF75" s="1183"/>
      <c r="AG75" s="1183"/>
      <c r="AH75" s="1183"/>
      <c r="AI75" s="1183"/>
      <c r="AJ75" s="1183"/>
      <c r="AK75" s="1183"/>
      <c r="AL75" s="1748"/>
      <c r="AM75" s="1748"/>
      <c r="AN75" s="1748"/>
      <c r="AO75" s="1748"/>
      <c r="AP75" s="1748"/>
      <c r="AQ75" s="1748"/>
    </row>
    <row r="76" spans="1:44" ht="17.25" customHeight="1">
      <c r="A76" s="1735"/>
      <c r="B76" s="1748"/>
      <c r="C76" s="1737"/>
      <c r="D76" s="3938"/>
      <c r="E76" s="3941"/>
      <c r="F76" s="3925"/>
      <c r="G76" s="3942"/>
      <c r="H76" s="3938"/>
      <c r="I76" s="3938"/>
      <c r="J76" s="3960"/>
      <c r="K76" s="3955"/>
      <c r="L76" s="3900" t="s">
        <v>90</v>
      </c>
      <c r="M76" s="3900" t="s">
        <v>115</v>
      </c>
      <c r="N76" s="3962" t="str">
        <f>IF(Z76="","",INDEX(TERRITORY_MR_LIST,MATCH(Z76,TERRITORY_LIST_ID,0)))</f>
        <v>Территория 15</v>
      </c>
      <c r="O76" s="3952" t="s">
        <v>53</v>
      </c>
      <c r="P76" s="3900"/>
      <c r="Q76" s="3900" t="s">
        <v>184</v>
      </c>
      <c r="R76" s="3954" t="s">
        <v>309</v>
      </c>
      <c r="S76" s="3899" t="s">
        <v>6</v>
      </c>
      <c r="T76" s="1707"/>
      <c r="U76" s="1707" t="s">
        <v>184</v>
      </c>
      <c r="V76" s="2006" t="s">
        <v>15</v>
      </c>
      <c r="W76" s="1697"/>
      <c r="Y76" s="1191"/>
      <c r="Z76" s="1191" t="s">
        <v>158</v>
      </c>
      <c r="AA76" s="1191"/>
      <c r="AB76" s="1191"/>
      <c r="AC76" s="1866" t="s">
        <v>292</v>
      </c>
      <c r="AD76" s="1866" t="s">
        <v>293</v>
      </c>
      <c r="AE76" s="1191" t="s">
        <v>310</v>
      </c>
      <c r="AF76" s="1191" t="s">
        <v>311</v>
      </c>
      <c r="AG76" s="1191" t="s">
        <v>312</v>
      </c>
      <c r="AH76" s="1191" t="str">
        <f>IF($E$64=0,"",$E$64)</f>
        <v>Тарифы на теплоноситель, поставляемый теплоснабжающими организациями потребителям, другим теплоснабжающим организациям</v>
      </c>
      <c r="AI76" s="1191" t="str">
        <f>IF($G$64=0,"",$G$64)</f>
        <v>Производство. Теплоноситель; Передача. Теплоноситель; Сбыт. Теплоноситель</v>
      </c>
      <c r="AJ76" s="1191" t="str">
        <f>IF($J$64=0,"",$J$64)</f>
        <v>Тариф на теплоноситель, посталяемый потребителям</v>
      </c>
      <c r="AK76" s="1191" t="str">
        <f>IF($K$76="нет","без дифференциации",IF($N$76=0,"",$N$76))</f>
        <v>Территория 15</v>
      </c>
      <c r="AL76" s="1739" t="str">
        <f>IF($O$76="нет","без дифференциации",IF($R$76=0,"",$R$76))</f>
        <v>Сычевский ТУ</v>
      </c>
      <c r="AM76" s="1739" t="str">
        <f>IF($S$76="нет","без дифференциации",IF($V$76=0,"",$V$76))</f>
        <v>без дифференциации</v>
      </c>
      <c r="AN76" s="1191">
        <f>$I$64</f>
        <v>1</v>
      </c>
      <c r="AO76" s="1191" t="str">
        <f>$I$64&amp;"."&amp;$M$76</f>
        <v>1.5</v>
      </c>
      <c r="AP76" s="1191" t="str">
        <f>$I$64&amp;"."&amp;$M$76&amp;"."&amp;$Q$76</f>
        <v>1.5.1</v>
      </c>
      <c r="AQ76" s="1191" t="str">
        <f>$I$64&amp;"."&amp;$M$76&amp;"."&amp;$Q$76&amp;"."&amp;$U$76</f>
        <v>1.5.1.1</v>
      </c>
    </row>
    <row r="77" spans="1:44" ht="17.25" customHeight="1">
      <c r="A77" s="1735"/>
      <c r="B77" s="1748"/>
      <c r="C77" s="1740"/>
      <c r="D77" s="3938"/>
      <c r="E77" s="3941"/>
      <c r="F77" s="3925"/>
      <c r="G77" s="3942"/>
      <c r="H77" s="3938"/>
      <c r="I77" s="3938"/>
      <c r="J77" s="3960"/>
      <c r="K77" s="3955"/>
      <c r="L77" s="3900"/>
      <c r="M77" s="3900"/>
      <c r="N77" s="3962"/>
      <c r="O77" s="3953"/>
      <c r="P77" s="3900"/>
      <c r="Q77" s="3900"/>
      <c r="R77" s="3954"/>
      <c r="S77" s="3899"/>
      <c r="T77" s="252"/>
      <c r="U77" s="253"/>
      <c r="V77" s="253" t="s">
        <v>235</v>
      </c>
      <c r="W77" s="254"/>
      <c r="Y77" s="1183"/>
      <c r="Z77" s="1183"/>
      <c r="AA77" s="1183"/>
      <c r="AB77" s="1183"/>
      <c r="AC77" s="1183"/>
      <c r="AD77" s="1183"/>
      <c r="AE77" s="1183"/>
      <c r="AF77" s="1183"/>
      <c r="AG77" s="1183"/>
      <c r="AH77" s="1183"/>
      <c r="AI77" s="1183"/>
      <c r="AJ77" s="1183"/>
      <c r="AK77" s="1183"/>
      <c r="AL77" s="1748"/>
      <c r="AM77" s="1748"/>
      <c r="AN77" s="1748"/>
      <c r="AO77" s="1748"/>
      <c r="AP77" s="1748"/>
      <c r="AQ77" s="1748"/>
    </row>
    <row r="78" spans="1:44" ht="17.25" customHeight="1">
      <c r="A78" s="1735"/>
      <c r="B78" s="1748"/>
      <c r="C78" s="1740"/>
      <c r="D78" s="3938"/>
      <c r="E78" s="3941"/>
      <c r="F78" s="3925"/>
      <c r="G78" s="3942"/>
      <c r="H78" s="3938"/>
      <c r="I78" s="3938"/>
      <c r="J78" s="3960"/>
      <c r="K78" s="3955"/>
      <c r="L78" s="3923"/>
      <c r="M78" s="3923"/>
      <c r="N78" s="3963"/>
      <c r="O78" s="3904"/>
      <c r="P78" s="252"/>
      <c r="Q78" s="253"/>
      <c r="R78" s="253" t="s">
        <v>236</v>
      </c>
      <c r="S78" s="1741"/>
      <c r="T78" s="1741"/>
      <c r="U78" s="1741"/>
      <c r="V78" s="1741"/>
      <c r="W78" s="254"/>
      <c r="Y78" s="1183"/>
      <c r="Z78" s="1183"/>
      <c r="AA78" s="1183"/>
      <c r="AB78" s="1183"/>
      <c r="AC78" s="1183"/>
      <c r="AD78" s="1183"/>
      <c r="AE78" s="1183"/>
      <c r="AF78" s="1183"/>
      <c r="AG78" s="1183"/>
      <c r="AH78" s="1183"/>
      <c r="AI78" s="1183"/>
      <c r="AJ78" s="1183"/>
      <c r="AK78" s="1183"/>
      <c r="AL78" s="1748"/>
      <c r="AM78" s="1748"/>
      <c r="AN78" s="1748"/>
      <c r="AO78" s="1748"/>
      <c r="AP78" s="1748"/>
      <c r="AQ78" s="1748"/>
    </row>
    <row r="79" spans="1:44" ht="17.25" customHeight="1">
      <c r="A79" s="1735"/>
      <c r="B79" s="1748"/>
      <c r="C79" s="1737"/>
      <c r="D79" s="3938"/>
      <c r="E79" s="3941"/>
      <c r="F79" s="3925"/>
      <c r="G79" s="3942"/>
      <c r="H79" s="3938"/>
      <c r="I79" s="3938"/>
      <c r="J79" s="3960"/>
      <c r="K79" s="3955"/>
      <c r="L79" s="3900" t="s">
        <v>90</v>
      </c>
      <c r="M79" s="3900" t="s">
        <v>79</v>
      </c>
      <c r="N79" s="3962" t="str">
        <f>IF(Z79="","",INDEX(TERRITORY_MR_LIST,MATCH(Z79,TERRITORY_LIST_ID,0)))</f>
        <v>Территория 16</v>
      </c>
      <c r="O79" s="3952" t="s">
        <v>53</v>
      </c>
      <c r="P79" s="3900"/>
      <c r="Q79" s="3900" t="s">
        <v>184</v>
      </c>
      <c r="R79" s="3954" t="s">
        <v>313</v>
      </c>
      <c r="S79" s="3899" t="s">
        <v>6</v>
      </c>
      <c r="T79" s="1707"/>
      <c r="U79" s="1707" t="s">
        <v>184</v>
      </c>
      <c r="V79" s="2006" t="s">
        <v>15</v>
      </c>
      <c r="W79" s="1697"/>
      <c r="Y79" s="1191"/>
      <c r="Z79" s="1191" t="s">
        <v>160</v>
      </c>
      <c r="AA79" s="1191"/>
      <c r="AB79" s="1191"/>
      <c r="AC79" s="1866" t="s">
        <v>292</v>
      </c>
      <c r="AD79" s="1866" t="s">
        <v>293</v>
      </c>
      <c r="AE79" s="1191" t="s">
        <v>314</v>
      </c>
      <c r="AF79" s="1191" t="s">
        <v>315</v>
      </c>
      <c r="AG79" s="1191" t="s">
        <v>316</v>
      </c>
      <c r="AH79" s="1191" t="str">
        <f>IF($E$64=0,"",$E$64)</f>
        <v>Тарифы на теплоноситель, поставляемый теплоснабжающими организациями потребителям, другим теплоснабжающим организациям</v>
      </c>
      <c r="AI79" s="1191" t="str">
        <f>IF($G$64=0,"",$G$64)</f>
        <v>Производство. Теплоноситель; Передача. Теплоноситель; Сбыт. Теплоноситель</v>
      </c>
      <c r="AJ79" s="1191" t="str">
        <f>IF($J$64=0,"",$J$64)</f>
        <v>Тариф на теплоноситель, посталяемый потребителям</v>
      </c>
      <c r="AK79" s="1191" t="str">
        <f>IF($K$79="нет","без дифференциации",IF($N$79=0,"",$N$79))</f>
        <v>Территория 16</v>
      </c>
      <c r="AL79" s="1739" t="str">
        <f>IF($O$79="нет","без дифференциации",IF($R$79=0,"",$R$79))</f>
        <v>Рославльский ТУ</v>
      </c>
      <c r="AM79" s="1739" t="str">
        <f>IF($S$79="нет","без дифференциации",IF($V$79=0,"",$V$79))</f>
        <v>без дифференциации</v>
      </c>
      <c r="AN79" s="1191">
        <f>$I$64</f>
        <v>1</v>
      </c>
      <c r="AO79" s="1191" t="str">
        <f>$I$64&amp;"."&amp;$M$79</f>
        <v>1.6</v>
      </c>
      <c r="AP79" s="1191" t="str">
        <f>$I$64&amp;"."&amp;$M$79&amp;"."&amp;$Q$79</f>
        <v>1.6.1</v>
      </c>
      <c r="AQ79" s="1191" t="str">
        <f>$I$64&amp;"."&amp;$M$79&amp;"."&amp;$Q$79&amp;"."&amp;$U$79</f>
        <v>1.6.1.1</v>
      </c>
    </row>
    <row r="80" spans="1:44" ht="17.25" customHeight="1">
      <c r="A80" s="1735"/>
      <c r="B80" s="1748"/>
      <c r="C80" s="1740"/>
      <c r="D80" s="3938"/>
      <c r="E80" s="3941"/>
      <c r="F80" s="3925"/>
      <c r="G80" s="3942"/>
      <c r="H80" s="3938"/>
      <c r="I80" s="3938"/>
      <c r="J80" s="3960"/>
      <c r="K80" s="3955"/>
      <c r="L80" s="3900"/>
      <c r="M80" s="3900"/>
      <c r="N80" s="3962"/>
      <c r="O80" s="3953"/>
      <c r="P80" s="3900"/>
      <c r="Q80" s="3900"/>
      <c r="R80" s="3954"/>
      <c r="S80" s="3899"/>
      <c r="T80" s="252"/>
      <c r="U80" s="253"/>
      <c r="V80" s="253" t="s">
        <v>235</v>
      </c>
      <c r="W80" s="254"/>
      <c r="Y80" s="1183"/>
      <c r="Z80" s="1183"/>
      <c r="AA80" s="1183"/>
      <c r="AB80" s="1183"/>
      <c r="AC80" s="1183"/>
      <c r="AD80" s="1183"/>
      <c r="AE80" s="1183"/>
      <c r="AF80" s="1183"/>
      <c r="AG80" s="1183"/>
      <c r="AH80" s="1183"/>
      <c r="AI80" s="1183"/>
      <c r="AJ80" s="1183"/>
      <c r="AK80" s="1183"/>
      <c r="AL80" s="1748"/>
      <c r="AM80" s="1748"/>
      <c r="AN80" s="1748"/>
      <c r="AO80" s="1748"/>
      <c r="AP80" s="1748"/>
      <c r="AQ80" s="1748"/>
    </row>
    <row r="81" spans="1:43" ht="17.25" customHeight="1">
      <c r="A81" s="1735"/>
      <c r="B81" s="1748"/>
      <c r="C81" s="1740"/>
      <c r="D81" s="3938"/>
      <c r="E81" s="3941"/>
      <c r="F81" s="3925"/>
      <c r="G81" s="3942"/>
      <c r="H81" s="3938"/>
      <c r="I81" s="3938"/>
      <c r="J81" s="3960"/>
      <c r="K81" s="3955"/>
      <c r="L81" s="3923"/>
      <c r="M81" s="3923"/>
      <c r="N81" s="3963"/>
      <c r="O81" s="3904"/>
      <c r="P81" s="252"/>
      <c r="Q81" s="253"/>
      <c r="R81" s="253" t="s">
        <v>236</v>
      </c>
      <c r="S81" s="1741"/>
      <c r="T81" s="1741"/>
      <c r="U81" s="1741"/>
      <c r="V81" s="1741"/>
      <c r="W81" s="254"/>
      <c r="Y81" s="1183"/>
      <c r="Z81" s="1183"/>
      <c r="AA81" s="1183"/>
      <c r="AB81" s="1183"/>
      <c r="AC81" s="1183"/>
      <c r="AD81" s="1183"/>
      <c r="AE81" s="1183"/>
      <c r="AF81" s="1183"/>
      <c r="AG81" s="1183"/>
      <c r="AH81" s="1183"/>
      <c r="AI81" s="1183"/>
      <c r="AJ81" s="1183"/>
      <c r="AK81" s="1183"/>
      <c r="AL81" s="1748"/>
      <c r="AM81" s="1748"/>
      <c r="AN81" s="1748"/>
      <c r="AO81" s="1748"/>
      <c r="AP81" s="1748"/>
      <c r="AQ81" s="1748"/>
    </row>
    <row r="82" spans="1:43" ht="17.25" customHeight="1">
      <c r="A82" s="1735"/>
      <c r="B82" s="1748"/>
      <c r="C82" s="1737"/>
      <c r="D82" s="3938"/>
      <c r="E82" s="3941"/>
      <c r="F82" s="3925"/>
      <c r="G82" s="3942"/>
      <c r="H82" s="3938"/>
      <c r="I82" s="3938"/>
      <c r="J82" s="3960"/>
      <c r="K82" s="3955"/>
      <c r="L82" s="3900" t="s">
        <v>90</v>
      </c>
      <c r="M82" s="3900" t="s">
        <v>80</v>
      </c>
      <c r="N82" s="3962" t="str">
        <f>IF(Z82="","",INDEX(TERRITORY_MR_LIST,MATCH(Z82,TERRITORY_LIST_ID,0)))</f>
        <v>Территория 17</v>
      </c>
      <c r="O82" s="3952" t="s">
        <v>53</v>
      </c>
      <c r="P82" s="3900"/>
      <c r="Q82" s="3900" t="s">
        <v>184</v>
      </c>
      <c r="R82" s="3954" t="s">
        <v>317</v>
      </c>
      <c r="S82" s="3899" t="s">
        <v>6</v>
      </c>
      <c r="T82" s="1707"/>
      <c r="U82" s="1707" t="s">
        <v>184</v>
      </c>
      <c r="V82" s="2006" t="s">
        <v>15</v>
      </c>
      <c r="W82" s="1697"/>
      <c r="Y82" s="1191"/>
      <c r="Z82" s="1191" t="s">
        <v>161</v>
      </c>
      <c r="AA82" s="1191"/>
      <c r="AB82" s="1191"/>
      <c r="AC82" s="1866" t="s">
        <v>292</v>
      </c>
      <c r="AD82" s="1866" t="s">
        <v>293</v>
      </c>
      <c r="AE82" s="1191" t="s">
        <v>318</v>
      </c>
      <c r="AF82" s="1191" t="s">
        <v>319</v>
      </c>
      <c r="AG82" s="1191" t="s">
        <v>320</v>
      </c>
      <c r="AH82" s="1191" t="str">
        <f>IF($E$64=0,"",$E$64)</f>
        <v>Тарифы на теплоноситель, поставляемый теплоснабжающими организациями потребителям, другим теплоснабжающим организациям</v>
      </c>
      <c r="AI82" s="1191" t="str">
        <f>IF($G$64=0,"",$G$64)</f>
        <v>Производство. Теплоноситель; Передача. Теплоноситель; Сбыт. Теплоноситель</v>
      </c>
      <c r="AJ82" s="1191" t="str">
        <f>IF($J$64=0,"",$J$64)</f>
        <v>Тариф на теплоноситель, посталяемый потребителям</v>
      </c>
      <c r="AK82" s="1191" t="str">
        <f>IF($K$82="нет","без дифференциации",IF($N$82=0,"",$N$82))</f>
        <v>Территория 17</v>
      </c>
      <c r="AL82" s="1739" t="str">
        <f>IF($O$82="нет","без дифференциации",IF($R$82=0,"",$R$82))</f>
        <v>Починковский ТУ</v>
      </c>
      <c r="AM82" s="1739" t="str">
        <f>IF($S$82="нет","без дифференциации",IF($V$82=0,"",$V$82))</f>
        <v>без дифференциации</v>
      </c>
      <c r="AN82" s="1191">
        <f>$I$64</f>
        <v>1</v>
      </c>
      <c r="AO82" s="1191" t="str">
        <f>$I$64&amp;"."&amp;$M$82</f>
        <v>1.7</v>
      </c>
      <c r="AP82" s="1191" t="str">
        <f>$I$64&amp;"."&amp;$M$82&amp;"."&amp;$Q$82</f>
        <v>1.7.1</v>
      </c>
      <c r="AQ82" s="1191" t="str">
        <f>$I$64&amp;"."&amp;$M$82&amp;"."&amp;$Q$82&amp;"."&amp;$U$82</f>
        <v>1.7.1.1</v>
      </c>
    </row>
    <row r="83" spans="1:43" ht="17.25" customHeight="1">
      <c r="A83" s="1735"/>
      <c r="B83" s="1748"/>
      <c r="C83" s="1740"/>
      <c r="D83" s="3938"/>
      <c r="E83" s="3941"/>
      <c r="F83" s="3925"/>
      <c r="G83" s="3942"/>
      <c r="H83" s="3938"/>
      <c r="I83" s="3938"/>
      <c r="J83" s="3960"/>
      <c r="K83" s="3955"/>
      <c r="L83" s="3900"/>
      <c r="M83" s="3900"/>
      <c r="N83" s="3962"/>
      <c r="O83" s="3953"/>
      <c r="P83" s="3900"/>
      <c r="Q83" s="3900"/>
      <c r="R83" s="3954"/>
      <c r="S83" s="3899"/>
      <c r="T83" s="252"/>
      <c r="U83" s="253"/>
      <c r="V83" s="253" t="s">
        <v>235</v>
      </c>
      <c r="W83" s="254"/>
      <c r="Y83" s="1183"/>
      <c r="Z83" s="1183"/>
      <c r="AA83" s="1183"/>
      <c r="AB83" s="1183"/>
      <c r="AC83" s="1183"/>
      <c r="AD83" s="1183"/>
      <c r="AE83" s="1183"/>
      <c r="AF83" s="1183"/>
      <c r="AG83" s="1183"/>
      <c r="AH83" s="1183"/>
      <c r="AI83" s="1183"/>
      <c r="AJ83" s="1183"/>
      <c r="AK83" s="1183"/>
      <c r="AL83" s="1748"/>
      <c r="AM83" s="1748"/>
      <c r="AN83" s="1748"/>
      <c r="AO83" s="1748"/>
      <c r="AP83" s="1748"/>
      <c r="AQ83" s="1748"/>
    </row>
    <row r="84" spans="1:43" ht="17.25" customHeight="1">
      <c r="A84" s="1735"/>
      <c r="B84" s="1748"/>
      <c r="C84" s="1740"/>
      <c r="D84" s="3938"/>
      <c r="E84" s="3941"/>
      <c r="F84" s="3925"/>
      <c r="G84" s="3942"/>
      <c r="H84" s="3938"/>
      <c r="I84" s="3938"/>
      <c r="J84" s="3960"/>
      <c r="K84" s="3955"/>
      <c r="L84" s="3923"/>
      <c r="M84" s="3923"/>
      <c r="N84" s="3963"/>
      <c r="O84" s="3904"/>
      <c r="P84" s="252"/>
      <c r="Q84" s="253"/>
      <c r="R84" s="253" t="s">
        <v>236</v>
      </c>
      <c r="S84" s="1741"/>
      <c r="T84" s="1741"/>
      <c r="U84" s="1741"/>
      <c r="V84" s="1741"/>
      <c r="W84" s="254"/>
      <c r="Y84" s="1183"/>
      <c r="Z84" s="1183"/>
      <c r="AA84" s="1183"/>
      <c r="AB84" s="1183"/>
      <c r="AC84" s="1183"/>
      <c r="AD84" s="1183"/>
      <c r="AE84" s="1183"/>
      <c r="AF84" s="1183"/>
      <c r="AG84" s="1183"/>
      <c r="AH84" s="1183"/>
      <c r="AI84" s="1183"/>
      <c r="AJ84" s="1183"/>
      <c r="AK84" s="1183"/>
      <c r="AL84" s="1748"/>
      <c r="AM84" s="1748"/>
      <c r="AN84" s="1748"/>
      <c r="AO84" s="1748"/>
      <c r="AP84" s="1748"/>
      <c r="AQ84" s="1748"/>
    </row>
    <row r="85" spans="1:43" ht="17.25" customHeight="1">
      <c r="A85" s="1735"/>
      <c r="B85" s="1748"/>
      <c r="C85" s="1737"/>
      <c r="D85" s="3938"/>
      <c r="E85" s="3941"/>
      <c r="F85" s="3925"/>
      <c r="G85" s="3942"/>
      <c r="H85" s="3938"/>
      <c r="I85" s="3938"/>
      <c r="J85" s="3960"/>
      <c r="K85" s="3955"/>
      <c r="L85" s="3900" t="s">
        <v>90</v>
      </c>
      <c r="M85" s="3900" t="s">
        <v>134</v>
      </c>
      <c r="N85" s="3962" t="str">
        <f>IF(Z85="","",INDEX(TERRITORY_MR_LIST,MATCH(Z85,TERRITORY_LIST_ID,0)))</f>
        <v>Территория 18</v>
      </c>
      <c r="O85" s="3952" t="s">
        <v>53</v>
      </c>
      <c r="P85" s="3900"/>
      <c r="Q85" s="3900" t="s">
        <v>184</v>
      </c>
      <c r="R85" s="3954" t="s">
        <v>321</v>
      </c>
      <c r="S85" s="3899" t="s">
        <v>6</v>
      </c>
      <c r="T85" s="1707"/>
      <c r="U85" s="1707" t="s">
        <v>184</v>
      </c>
      <c r="V85" s="2006" t="s">
        <v>15</v>
      </c>
      <c r="W85" s="1697"/>
      <c r="Y85" s="1191"/>
      <c r="Z85" s="1191" t="s">
        <v>163</v>
      </c>
      <c r="AA85" s="1191"/>
      <c r="AB85" s="1191"/>
      <c r="AC85" s="1866" t="s">
        <v>292</v>
      </c>
      <c r="AD85" s="1866" t="s">
        <v>293</v>
      </c>
      <c r="AE85" s="1191" t="s">
        <v>322</v>
      </c>
      <c r="AF85" s="1191" t="s">
        <v>323</v>
      </c>
      <c r="AG85" s="1191" t="s">
        <v>324</v>
      </c>
      <c r="AH85" s="1191" t="str">
        <f>IF($E$64=0,"",$E$64)</f>
        <v>Тарифы на теплоноситель, поставляемый теплоснабжающими организациями потребителям, другим теплоснабжающим организациям</v>
      </c>
      <c r="AI85" s="1191" t="str">
        <f>IF($G$64=0,"",$G$64)</f>
        <v>Производство. Теплоноситель; Передача. Теплоноситель; Сбыт. Теплоноситель</v>
      </c>
      <c r="AJ85" s="1191" t="str">
        <f>IF($J$64=0,"",$J$64)</f>
        <v>Тариф на теплоноситель, посталяемый потребителям</v>
      </c>
      <c r="AK85" s="1191" t="str">
        <f>IF($K$85="нет","без дифференциации",IF($N$85=0,"",$N$85))</f>
        <v>Территория 18</v>
      </c>
      <c r="AL85" s="1739" t="str">
        <f>IF($O$85="нет","без дифференциации",IF($R$85=0,"",$R$85))</f>
        <v>Ершичский ТУ</v>
      </c>
      <c r="AM85" s="1739" t="str">
        <f>IF($S$85="нет","без дифференциации",IF($V$85=0,"",$V$85))</f>
        <v>без дифференциации</v>
      </c>
      <c r="AN85" s="1191">
        <f>$I$64</f>
        <v>1</v>
      </c>
      <c r="AO85" s="1191" t="str">
        <f>$I$64&amp;"."&amp;$M$85</f>
        <v>1.8</v>
      </c>
      <c r="AP85" s="1191" t="str">
        <f>$I$64&amp;"."&amp;$M$85&amp;"."&amp;$Q$85</f>
        <v>1.8.1</v>
      </c>
      <c r="AQ85" s="1191" t="str">
        <f>$I$64&amp;"."&amp;$M$85&amp;"."&amp;$Q$85&amp;"."&amp;$U$85</f>
        <v>1.8.1.1</v>
      </c>
    </row>
    <row r="86" spans="1:43" ht="17.25" customHeight="1">
      <c r="A86" s="1735"/>
      <c r="B86" s="1748"/>
      <c r="C86" s="1740"/>
      <c r="D86" s="3938"/>
      <c r="E86" s="3941"/>
      <c r="F86" s="3925"/>
      <c r="G86" s="3942"/>
      <c r="H86" s="3938"/>
      <c r="I86" s="3938"/>
      <c r="J86" s="3960"/>
      <c r="K86" s="3955"/>
      <c r="L86" s="3900"/>
      <c r="M86" s="3900"/>
      <c r="N86" s="3962"/>
      <c r="O86" s="3953"/>
      <c r="P86" s="3900"/>
      <c r="Q86" s="3900"/>
      <c r="R86" s="3954"/>
      <c r="S86" s="3899"/>
      <c r="T86" s="252"/>
      <c r="U86" s="253"/>
      <c r="V86" s="253" t="s">
        <v>235</v>
      </c>
      <c r="W86" s="254"/>
      <c r="Y86" s="1183"/>
      <c r="Z86" s="1183"/>
      <c r="AA86" s="1183"/>
      <c r="AB86" s="1183"/>
      <c r="AC86" s="1183"/>
      <c r="AD86" s="1183"/>
      <c r="AE86" s="1183"/>
      <c r="AF86" s="1183"/>
      <c r="AG86" s="1183"/>
      <c r="AH86" s="1183"/>
      <c r="AI86" s="1183"/>
      <c r="AJ86" s="1183"/>
      <c r="AK86" s="1183"/>
      <c r="AL86" s="1748"/>
      <c r="AM86" s="1748"/>
      <c r="AN86" s="1748"/>
      <c r="AO86" s="1748"/>
      <c r="AP86" s="1748"/>
      <c r="AQ86" s="1748"/>
    </row>
    <row r="87" spans="1:43" ht="17.25" customHeight="1">
      <c r="A87" s="1735"/>
      <c r="B87" s="1748"/>
      <c r="C87" s="1740"/>
      <c r="D87" s="3938"/>
      <c r="E87" s="3941"/>
      <c r="F87" s="3925"/>
      <c r="G87" s="3942"/>
      <c r="H87" s="3938"/>
      <c r="I87" s="3938"/>
      <c r="J87" s="3960"/>
      <c r="K87" s="3955"/>
      <c r="L87" s="3923"/>
      <c r="M87" s="3923"/>
      <c r="N87" s="3963"/>
      <c r="O87" s="3904"/>
      <c r="P87" s="252"/>
      <c r="Q87" s="253"/>
      <c r="R87" s="253" t="s">
        <v>236</v>
      </c>
      <c r="S87" s="1741"/>
      <c r="T87" s="1741"/>
      <c r="U87" s="1741"/>
      <c r="V87" s="1741"/>
      <c r="W87" s="254"/>
      <c r="Y87" s="1183"/>
      <c r="Z87" s="1183"/>
      <c r="AA87" s="1183"/>
      <c r="AB87" s="1183"/>
      <c r="AC87" s="1183"/>
      <c r="AD87" s="1183"/>
      <c r="AE87" s="1183"/>
      <c r="AF87" s="1183"/>
      <c r="AG87" s="1183"/>
      <c r="AH87" s="1183"/>
      <c r="AI87" s="1183"/>
      <c r="AJ87" s="1183"/>
      <c r="AK87" s="1183"/>
      <c r="AL87" s="1748"/>
      <c r="AM87" s="1748"/>
      <c r="AN87" s="1748"/>
      <c r="AO87" s="1748"/>
      <c r="AP87" s="1748"/>
      <c r="AQ87" s="1748"/>
    </row>
    <row r="88" spans="1:43" ht="17.25" customHeight="1">
      <c r="A88" s="1735"/>
      <c r="B88" s="1748"/>
      <c r="C88" s="1737"/>
      <c r="D88" s="3938"/>
      <c r="E88" s="3941"/>
      <c r="F88" s="3925"/>
      <c r="G88" s="3942"/>
      <c r="H88" s="3938"/>
      <c r="I88" s="3938"/>
      <c r="J88" s="3960"/>
      <c r="K88" s="3955"/>
      <c r="L88" s="3900" t="s">
        <v>90</v>
      </c>
      <c r="M88" s="3900" t="s">
        <v>136</v>
      </c>
      <c r="N88" s="3962" t="str">
        <f>IF(Z88="","",INDEX(TERRITORY_MR_LIST,MATCH(Z88,TERRITORY_LIST_ID,0)))</f>
        <v>Территория 19</v>
      </c>
      <c r="O88" s="3952" t="s">
        <v>53</v>
      </c>
      <c r="P88" s="3900"/>
      <c r="Q88" s="3900" t="s">
        <v>184</v>
      </c>
      <c r="R88" s="3954" t="s">
        <v>325</v>
      </c>
      <c r="S88" s="3899" t="s">
        <v>6</v>
      </c>
      <c r="T88" s="1707"/>
      <c r="U88" s="1707" t="s">
        <v>184</v>
      </c>
      <c r="V88" s="2006" t="s">
        <v>15</v>
      </c>
      <c r="W88" s="1697"/>
      <c r="Y88" s="1191"/>
      <c r="Z88" s="1191" t="s">
        <v>165</v>
      </c>
      <c r="AA88" s="1191"/>
      <c r="AB88" s="1191"/>
      <c r="AC88" s="1866" t="s">
        <v>292</v>
      </c>
      <c r="AD88" s="1866" t="s">
        <v>293</v>
      </c>
      <c r="AE88" s="1191" t="s">
        <v>326</v>
      </c>
      <c r="AF88" s="1191" t="s">
        <v>327</v>
      </c>
      <c r="AG88" s="1191" t="s">
        <v>328</v>
      </c>
      <c r="AH88" s="1191" t="str">
        <f>IF($E$64=0,"",$E$64)</f>
        <v>Тарифы на теплоноситель, поставляемый теплоснабжающими организациями потребителям, другим теплоснабжающим организациям</v>
      </c>
      <c r="AI88" s="1191" t="str">
        <f>IF($G$64=0,"",$G$64)</f>
        <v>Производство. Теплоноситель; Передача. Теплоноситель; Сбыт. Теплоноситель</v>
      </c>
      <c r="AJ88" s="1191" t="str">
        <f>IF($J$64=0,"",$J$64)</f>
        <v>Тариф на теплоноситель, посталяемый потребителям</v>
      </c>
      <c r="AK88" s="1191" t="str">
        <f>IF($K$88="нет","без дифференциации",IF($N$88=0,"",$N$88))</f>
        <v>Территория 19</v>
      </c>
      <c r="AL88" s="1739" t="str">
        <f>IF($O$88="нет","без дифференциации",IF($R$88=0,"",$R$88))</f>
        <v>Шумячский  ТУ</v>
      </c>
      <c r="AM88" s="1739" t="str">
        <f>IF($S$88="нет","без дифференциации",IF($V$88=0,"",$V$88))</f>
        <v>без дифференциации</v>
      </c>
      <c r="AN88" s="1191">
        <f>$I$64</f>
        <v>1</v>
      </c>
      <c r="AO88" s="1191" t="str">
        <f>$I$64&amp;"."&amp;$M$88</f>
        <v>1.9</v>
      </c>
      <c r="AP88" s="1191" t="str">
        <f>$I$64&amp;"."&amp;$M$88&amp;"."&amp;$Q$88</f>
        <v>1.9.1</v>
      </c>
      <c r="AQ88" s="1191" t="str">
        <f>$I$64&amp;"."&amp;$M$88&amp;"."&amp;$Q$88&amp;"."&amp;$U$88</f>
        <v>1.9.1.1</v>
      </c>
    </row>
    <row r="89" spans="1:43" ht="17.25" customHeight="1">
      <c r="A89" s="1735"/>
      <c r="B89" s="1748"/>
      <c r="C89" s="1740"/>
      <c r="D89" s="3938"/>
      <c r="E89" s="3941"/>
      <c r="F89" s="3925"/>
      <c r="G89" s="3942"/>
      <c r="H89" s="3938"/>
      <c r="I89" s="3938"/>
      <c r="J89" s="3960"/>
      <c r="K89" s="3955"/>
      <c r="L89" s="3900"/>
      <c r="M89" s="3900"/>
      <c r="N89" s="3962"/>
      <c r="O89" s="3953"/>
      <c r="P89" s="3900"/>
      <c r="Q89" s="3900"/>
      <c r="R89" s="3954"/>
      <c r="S89" s="3899"/>
      <c r="T89" s="252"/>
      <c r="U89" s="253"/>
      <c r="V89" s="253" t="s">
        <v>235</v>
      </c>
      <c r="W89" s="254"/>
      <c r="Y89" s="1183"/>
      <c r="Z89" s="1183"/>
      <c r="AA89" s="1183"/>
      <c r="AB89" s="1183"/>
      <c r="AC89" s="1183"/>
      <c r="AD89" s="1183"/>
      <c r="AE89" s="1183"/>
      <c r="AF89" s="1183"/>
      <c r="AG89" s="1183"/>
      <c r="AH89" s="1183"/>
      <c r="AI89" s="1183"/>
      <c r="AJ89" s="1183"/>
      <c r="AK89" s="1183"/>
      <c r="AL89" s="1748"/>
      <c r="AM89" s="1748"/>
      <c r="AN89" s="1748"/>
      <c r="AO89" s="1748"/>
      <c r="AP89" s="1748"/>
      <c r="AQ89" s="1748"/>
    </row>
    <row r="90" spans="1:43" ht="17.25" customHeight="1">
      <c r="A90" s="1735"/>
      <c r="B90" s="1748"/>
      <c r="C90" s="1740"/>
      <c r="D90" s="3938"/>
      <c r="E90" s="3941"/>
      <c r="F90" s="3925"/>
      <c r="G90" s="3942"/>
      <c r="H90" s="3938"/>
      <c r="I90" s="3938"/>
      <c r="J90" s="3960"/>
      <c r="K90" s="3955"/>
      <c r="L90" s="3923"/>
      <c r="M90" s="3923"/>
      <c r="N90" s="3963"/>
      <c r="O90" s="3904"/>
      <c r="P90" s="252"/>
      <c r="Q90" s="253"/>
      <c r="R90" s="253" t="s">
        <v>236</v>
      </c>
      <c r="S90" s="1741"/>
      <c r="T90" s="1741"/>
      <c r="U90" s="1741"/>
      <c r="V90" s="1741"/>
      <c r="W90" s="254"/>
      <c r="Y90" s="1183"/>
      <c r="Z90" s="1183"/>
      <c r="AA90" s="1183"/>
      <c r="AB90" s="1183"/>
      <c r="AC90" s="1183"/>
      <c r="AD90" s="1183"/>
      <c r="AE90" s="1183"/>
      <c r="AF90" s="1183"/>
      <c r="AG90" s="1183"/>
      <c r="AH90" s="1183"/>
      <c r="AI90" s="1183"/>
      <c r="AJ90" s="1183"/>
      <c r="AK90" s="1183"/>
      <c r="AL90" s="1748"/>
      <c r="AM90" s="1748"/>
      <c r="AN90" s="1748"/>
      <c r="AO90" s="1748"/>
      <c r="AP90" s="1748"/>
      <c r="AQ90" s="1748"/>
    </row>
    <row r="91" spans="1:43" ht="17.25" customHeight="1">
      <c r="A91" s="1735"/>
      <c r="B91" s="1748"/>
      <c r="C91" s="1737"/>
      <c r="D91" s="3938"/>
      <c r="E91" s="3941"/>
      <c r="F91" s="3925"/>
      <c r="G91" s="3942"/>
      <c r="H91" s="3938"/>
      <c r="I91" s="3938"/>
      <c r="J91" s="3960"/>
      <c r="K91" s="3955"/>
      <c r="L91" s="3900" t="s">
        <v>90</v>
      </c>
      <c r="M91" s="3900" t="s">
        <v>141</v>
      </c>
      <c r="N91" s="3962" t="str">
        <f>IF(Z91="","",INDEX(TERRITORY_MR_LIST,MATCH(Z91,TERRITORY_LIST_ID,0)))</f>
        <v>Территория 4</v>
      </c>
      <c r="O91" s="3952" t="s">
        <v>53</v>
      </c>
      <c r="P91" s="3900"/>
      <c r="Q91" s="3900" t="s">
        <v>184</v>
      </c>
      <c r="R91" s="3954" t="s">
        <v>245</v>
      </c>
      <c r="S91" s="3899" t="s">
        <v>6</v>
      </c>
      <c r="T91" s="1707"/>
      <c r="U91" s="1707" t="s">
        <v>184</v>
      </c>
      <c r="V91" s="2006" t="s">
        <v>15</v>
      </c>
      <c r="W91" s="1697"/>
      <c r="Y91" s="1191"/>
      <c r="Z91" s="1191" t="s">
        <v>114</v>
      </c>
      <c r="AA91" s="1191"/>
      <c r="AB91" s="1191"/>
      <c r="AC91" s="1866" t="s">
        <v>292</v>
      </c>
      <c r="AD91" s="1866" t="s">
        <v>293</v>
      </c>
      <c r="AE91" s="1191" t="s">
        <v>329</v>
      </c>
      <c r="AF91" s="1191" t="s">
        <v>330</v>
      </c>
      <c r="AG91" s="1191" t="s">
        <v>331</v>
      </c>
      <c r="AH91" s="1191" t="str">
        <f>IF($E$64=0,"",$E$64)</f>
        <v>Тарифы на теплоноситель, поставляемый теплоснабжающими организациями потребителям, другим теплоснабжающим организациям</v>
      </c>
      <c r="AI91" s="1191" t="str">
        <f>IF($G$64=0,"",$G$64)</f>
        <v>Производство. Теплоноситель; Передача. Теплоноситель; Сбыт. Теплоноситель</v>
      </c>
      <c r="AJ91" s="1191" t="str">
        <f>IF($J$64=0,"",$J$64)</f>
        <v>Тариф на теплоноситель, посталяемый потребителям</v>
      </c>
      <c r="AK91" s="1191" t="str">
        <f>IF($K$91="нет","без дифференциации",IF($N$91=0,"",$N$91))</f>
        <v>Территория 4</v>
      </c>
      <c r="AL91" s="1739" t="str">
        <f>IF($O$91="нет","без дифференциации",IF($R$91=0,"",$R$91))</f>
        <v>котельная г. Рославль ул. Мичурина</v>
      </c>
      <c r="AM91" s="1739" t="str">
        <f>IF($S$91="нет","без дифференциации",IF($V$91=0,"",$V$91))</f>
        <v>без дифференциации</v>
      </c>
      <c r="AN91" s="1191">
        <f>$I$64</f>
        <v>1</v>
      </c>
      <c r="AO91" s="1191" t="str">
        <f>$I$64&amp;"."&amp;$M$91</f>
        <v>1.10</v>
      </c>
      <c r="AP91" s="1191" t="str">
        <f>$I$64&amp;"."&amp;$M$91&amp;"."&amp;$Q$91</f>
        <v>1.10.1</v>
      </c>
      <c r="AQ91" s="1191" t="str">
        <f>$I$64&amp;"."&amp;$M$91&amp;"."&amp;$Q$91&amp;"."&amp;$U$91</f>
        <v>1.10.1.1</v>
      </c>
    </row>
    <row r="92" spans="1:43" ht="17.25" customHeight="1">
      <c r="A92" s="1735"/>
      <c r="B92" s="1748"/>
      <c r="C92" s="1740"/>
      <c r="D92" s="3938"/>
      <c r="E92" s="3941"/>
      <c r="F92" s="3925"/>
      <c r="G92" s="3942"/>
      <c r="H92" s="3938"/>
      <c r="I92" s="3938"/>
      <c r="J92" s="3960"/>
      <c r="K92" s="3955"/>
      <c r="L92" s="3900"/>
      <c r="M92" s="3900"/>
      <c r="N92" s="3962"/>
      <c r="O92" s="3953"/>
      <c r="P92" s="3900"/>
      <c r="Q92" s="3900"/>
      <c r="R92" s="3954"/>
      <c r="S92" s="3899"/>
      <c r="T92" s="252"/>
      <c r="U92" s="253"/>
      <c r="V92" s="253" t="s">
        <v>235</v>
      </c>
      <c r="W92" s="254"/>
      <c r="Y92" s="1183"/>
      <c r="Z92" s="1183"/>
      <c r="AA92" s="1183"/>
      <c r="AB92" s="1183"/>
      <c r="AC92" s="1183"/>
      <c r="AD92" s="1183"/>
      <c r="AE92" s="1183"/>
      <c r="AF92" s="1183"/>
      <c r="AG92" s="1183"/>
      <c r="AH92" s="1183"/>
      <c r="AI92" s="1183"/>
      <c r="AJ92" s="1183"/>
      <c r="AK92" s="1183"/>
      <c r="AL92" s="1748"/>
      <c r="AM92" s="1748"/>
      <c r="AN92" s="1748"/>
      <c r="AO92" s="1748"/>
      <c r="AP92" s="1748"/>
      <c r="AQ92" s="1748"/>
    </row>
    <row r="93" spans="1:43" ht="17.25" customHeight="1">
      <c r="A93" s="1735"/>
      <c r="B93" s="1748"/>
      <c r="C93" s="1740"/>
      <c r="D93" s="3938"/>
      <c r="E93" s="3941"/>
      <c r="F93" s="3925"/>
      <c r="G93" s="3942"/>
      <c r="H93" s="3938"/>
      <c r="I93" s="3938"/>
      <c r="J93" s="3960"/>
      <c r="K93" s="3955"/>
      <c r="L93" s="3923"/>
      <c r="M93" s="3923"/>
      <c r="N93" s="3963"/>
      <c r="O93" s="3904"/>
      <c r="P93" s="252"/>
      <c r="Q93" s="253"/>
      <c r="R93" s="253" t="s">
        <v>236</v>
      </c>
      <c r="S93" s="1741"/>
      <c r="T93" s="1741"/>
      <c r="U93" s="1741"/>
      <c r="V93" s="1741"/>
      <c r="W93" s="254"/>
      <c r="Y93" s="1183"/>
      <c r="Z93" s="1183"/>
      <c r="AA93" s="1183"/>
      <c r="AB93" s="1183"/>
      <c r="AC93" s="1183"/>
      <c r="AD93" s="1183"/>
      <c r="AE93" s="1183"/>
      <c r="AF93" s="1183"/>
      <c r="AG93" s="1183"/>
      <c r="AH93" s="1183"/>
      <c r="AI93" s="1183"/>
      <c r="AJ93" s="1183"/>
      <c r="AK93" s="1183"/>
      <c r="AL93" s="1748"/>
      <c r="AM93" s="1748"/>
      <c r="AN93" s="1748"/>
      <c r="AO93" s="1748"/>
      <c r="AP93" s="1748"/>
      <c r="AQ93" s="1748"/>
    </row>
    <row r="94" spans="1:43" ht="17.25" customHeight="1">
      <c r="A94" s="1735"/>
      <c r="B94" s="1748"/>
      <c r="C94" s="1737"/>
      <c r="D94" s="3938"/>
      <c r="E94" s="3941"/>
      <c r="F94" s="3925"/>
      <c r="G94" s="3942"/>
      <c r="H94" s="3938"/>
      <c r="I94" s="3938"/>
      <c r="J94" s="3960"/>
      <c r="K94" s="3955"/>
      <c r="L94" s="3900" t="s">
        <v>90</v>
      </c>
      <c r="M94" s="3900" t="s">
        <v>146</v>
      </c>
      <c r="N94" s="3962" t="str">
        <f>IF(Z94="","",INDEX(TERRITORY_MR_LIST,MATCH(Z94,TERRITORY_LIST_ID,0)))</f>
        <v>Территория 20</v>
      </c>
      <c r="O94" s="3952" t="s">
        <v>53</v>
      </c>
      <c r="P94" s="3900"/>
      <c r="Q94" s="3900" t="s">
        <v>184</v>
      </c>
      <c r="R94" s="3954" t="s">
        <v>332</v>
      </c>
      <c r="S94" s="3899" t="s">
        <v>6</v>
      </c>
      <c r="T94" s="1707"/>
      <c r="U94" s="1707" t="s">
        <v>184</v>
      </c>
      <c r="V94" s="2006" t="s">
        <v>15</v>
      </c>
      <c r="W94" s="1697"/>
      <c r="Y94" s="1191"/>
      <c r="Z94" s="1191" t="s">
        <v>167</v>
      </c>
      <c r="AA94" s="1191"/>
      <c r="AB94" s="1191"/>
      <c r="AC94" s="1866" t="s">
        <v>292</v>
      </c>
      <c r="AD94" s="1866" t="s">
        <v>293</v>
      </c>
      <c r="AE94" s="1191" t="s">
        <v>333</v>
      </c>
      <c r="AF94" s="1191" t="s">
        <v>334</v>
      </c>
      <c r="AG94" s="1191" t="s">
        <v>335</v>
      </c>
      <c r="AH94" s="1191" t="str">
        <f>IF($E$64=0,"",$E$64)</f>
        <v>Тарифы на теплоноситель, поставляемый теплоснабжающими организациями потребителям, другим теплоснабжающим организациям</v>
      </c>
      <c r="AI94" s="1191" t="str">
        <f>IF($G$64=0,"",$G$64)</f>
        <v>Производство. Теплоноситель; Передача. Теплоноситель; Сбыт. Теплоноситель</v>
      </c>
      <c r="AJ94" s="1191" t="str">
        <f>IF($J$64=0,"",$J$64)</f>
        <v>Тариф на теплоноситель, посталяемый потребителям</v>
      </c>
      <c r="AK94" s="1191" t="str">
        <f>IF($K$94="нет","без дифференциации",IF($N$94=0,"",$N$94))</f>
        <v>Территория 20</v>
      </c>
      <c r="AL94" s="1739" t="str">
        <f>IF($O$94="нет","без дифференциации",IF($R$94=0,"",$R$94))</f>
        <v>Сафоновский ТУ</v>
      </c>
      <c r="AM94" s="1739" t="str">
        <f>IF($S$94="нет","без дифференциации",IF($V$94=0,"",$V$94))</f>
        <v>без дифференциации</v>
      </c>
      <c r="AN94" s="1191">
        <f>$I$64</f>
        <v>1</v>
      </c>
      <c r="AO94" s="1191" t="str">
        <f>$I$64&amp;"."&amp;$M$94</f>
        <v>1.11</v>
      </c>
      <c r="AP94" s="1191" t="str">
        <f>$I$64&amp;"."&amp;$M$94&amp;"."&amp;$Q$94</f>
        <v>1.11.1</v>
      </c>
      <c r="AQ94" s="1191" t="str">
        <f>$I$64&amp;"."&amp;$M$94&amp;"."&amp;$Q$94&amp;"."&amp;$U$94</f>
        <v>1.11.1.1</v>
      </c>
    </row>
    <row r="95" spans="1:43" ht="17.25" customHeight="1">
      <c r="A95" s="1735"/>
      <c r="B95" s="1748"/>
      <c r="C95" s="1740"/>
      <c r="D95" s="3938"/>
      <c r="E95" s="3941"/>
      <c r="F95" s="3925"/>
      <c r="G95" s="3942"/>
      <c r="H95" s="3938"/>
      <c r="I95" s="3938"/>
      <c r="J95" s="3960"/>
      <c r="K95" s="3955"/>
      <c r="L95" s="3900"/>
      <c r="M95" s="3900"/>
      <c r="N95" s="3962"/>
      <c r="O95" s="3953"/>
      <c r="P95" s="3900"/>
      <c r="Q95" s="3900"/>
      <c r="R95" s="3954"/>
      <c r="S95" s="3899"/>
      <c r="T95" s="252"/>
      <c r="U95" s="253"/>
      <c r="V95" s="253" t="s">
        <v>235</v>
      </c>
      <c r="W95" s="254"/>
      <c r="Y95" s="1183"/>
      <c r="Z95" s="1183"/>
      <c r="AA95" s="1183"/>
      <c r="AB95" s="1183"/>
      <c r="AC95" s="1183"/>
      <c r="AD95" s="1183"/>
      <c r="AE95" s="1183"/>
      <c r="AF95" s="1183"/>
      <c r="AG95" s="1183"/>
      <c r="AH95" s="1183"/>
      <c r="AI95" s="1183"/>
      <c r="AJ95" s="1183"/>
      <c r="AK95" s="1183"/>
      <c r="AL95" s="1748"/>
      <c r="AM95" s="1748"/>
      <c r="AN95" s="1748"/>
      <c r="AO95" s="1748"/>
      <c r="AP95" s="1748"/>
      <c r="AQ95" s="1748"/>
    </row>
    <row r="96" spans="1:43" ht="17.25" customHeight="1">
      <c r="A96" s="1735"/>
      <c r="B96" s="1748"/>
      <c r="C96" s="1737"/>
      <c r="D96" s="3938"/>
      <c r="E96" s="3941"/>
      <c r="F96" s="3925"/>
      <c r="G96" s="3942"/>
      <c r="H96" s="3938"/>
      <c r="I96" s="3938"/>
      <c r="J96" s="3960"/>
      <c r="K96" s="3955"/>
      <c r="L96" s="3964"/>
      <c r="M96" s="3964"/>
      <c r="N96" s="3965"/>
      <c r="O96" s="3953"/>
      <c r="P96" s="3900" t="s">
        <v>90</v>
      </c>
      <c r="Q96" s="3900" t="s">
        <v>89</v>
      </c>
      <c r="R96" s="3954" t="s">
        <v>253</v>
      </c>
      <c r="S96" s="3899" t="s">
        <v>6</v>
      </c>
      <c r="T96" s="1707"/>
      <c r="U96" s="1707" t="s">
        <v>184</v>
      </c>
      <c r="V96" s="3536" t="s">
        <v>15</v>
      </c>
      <c r="W96" s="1697"/>
      <c r="Y96" s="1191"/>
      <c r="Z96" s="1191"/>
      <c r="AA96" s="1191"/>
      <c r="AB96" s="1191"/>
      <c r="AC96" s="1866" t="s">
        <v>292</v>
      </c>
      <c r="AD96" s="1866" t="s">
        <v>293</v>
      </c>
      <c r="AE96" s="1866" t="s">
        <v>333</v>
      </c>
      <c r="AF96" s="1191" t="s">
        <v>336</v>
      </c>
      <c r="AG96" s="1191" t="s">
        <v>337</v>
      </c>
      <c r="AH96" s="1191" t="str">
        <f>IF($E$64=0,"",$E$64)</f>
        <v>Тарифы на теплоноситель, поставляемый теплоснабжающими организациями потребителям, другим теплоснабжающим организациям</v>
      </c>
      <c r="AI96" s="1191" t="str">
        <f>IF($G$64=0,"",$G$64)</f>
        <v>Производство. Теплоноситель; Передача. Теплоноситель; Сбыт. Теплоноситель</v>
      </c>
      <c r="AJ96" s="1191" t="str">
        <f>IF($J$64=0,"",$J$64)</f>
        <v>Тариф на теплоноситель, посталяемый потребителям</v>
      </c>
      <c r="AK96" s="1191" t="str">
        <f>IF($K$94="нет","без дифференциации",IF($N$94=0,"",$N$94))</f>
        <v>Территория 20</v>
      </c>
      <c r="AL96" s="1739" t="str">
        <f>IF($O$96="нет","без дифференциации",IF($R$96=0,"",$R$96))</f>
        <v xml:space="preserve">котельная  №16 г. Сафоново, ул. Советская
</v>
      </c>
      <c r="AM96" s="1739" t="str">
        <f>IF($S$96="нет","без дифференциации",IF($V$96=0,"",$V$96))</f>
        <v>без дифференциации</v>
      </c>
      <c r="AN96" s="1191">
        <f>$I$64</f>
        <v>1</v>
      </c>
      <c r="AO96" s="1191" t="str">
        <f>$I$64&amp;"."&amp;$M$94</f>
        <v>1.11</v>
      </c>
      <c r="AP96" s="1191" t="str">
        <f>$I$64&amp;"."&amp;$M$94&amp;"."&amp;$Q$96</f>
        <v>1.11.2</v>
      </c>
      <c r="AQ96" s="1191" t="str">
        <f>$I$64&amp;"."&amp;$M$94&amp;"."&amp;$Q$96&amp;"."&amp;$U$96</f>
        <v>1.11.2.1</v>
      </c>
    </row>
    <row r="97" spans="1:43" ht="17.25" customHeight="1">
      <c r="A97" s="1735"/>
      <c r="B97" s="1748"/>
      <c r="C97" s="1740"/>
      <c r="D97" s="3938"/>
      <c r="E97" s="3941"/>
      <c r="F97" s="3925"/>
      <c r="G97" s="3942"/>
      <c r="H97" s="3938"/>
      <c r="I97" s="3938"/>
      <c r="J97" s="3960"/>
      <c r="K97" s="3955"/>
      <c r="L97" s="3964"/>
      <c r="M97" s="3964"/>
      <c r="N97" s="3965"/>
      <c r="O97" s="3953"/>
      <c r="P97" s="3900"/>
      <c r="Q97" s="3900"/>
      <c r="R97" s="3954"/>
      <c r="S97" s="3899"/>
      <c r="T97" s="252"/>
      <c r="U97" s="253"/>
      <c r="V97" s="253" t="s">
        <v>235</v>
      </c>
      <c r="W97" s="254"/>
      <c r="Y97" s="1183"/>
      <c r="Z97" s="1183"/>
      <c r="AA97" s="1183"/>
      <c r="AB97" s="1183"/>
      <c r="AC97" s="1183"/>
      <c r="AD97" s="1183"/>
      <c r="AE97" s="1183"/>
      <c r="AF97" s="1183"/>
      <c r="AG97" s="1183"/>
      <c r="AH97" s="1183"/>
      <c r="AI97" s="1183"/>
      <c r="AJ97" s="1183"/>
      <c r="AK97" s="1183"/>
      <c r="AL97" s="1748"/>
      <c r="AM97" s="1748"/>
      <c r="AN97" s="1748"/>
      <c r="AO97" s="1748"/>
      <c r="AP97" s="1748"/>
      <c r="AQ97" s="1748"/>
    </row>
    <row r="98" spans="1:43" ht="17.25" customHeight="1">
      <c r="A98" s="1735"/>
      <c r="B98" s="1748"/>
      <c r="C98" s="1737"/>
      <c r="D98" s="3938"/>
      <c r="E98" s="3941"/>
      <c r="F98" s="3925"/>
      <c r="G98" s="3942"/>
      <c r="H98" s="3938"/>
      <c r="I98" s="3938"/>
      <c r="J98" s="3960"/>
      <c r="K98" s="3955"/>
      <c r="L98" s="3964"/>
      <c r="M98" s="3964"/>
      <c r="N98" s="3965"/>
      <c r="O98" s="3953"/>
      <c r="P98" s="3900" t="s">
        <v>90</v>
      </c>
      <c r="Q98" s="3900" t="s">
        <v>77</v>
      </c>
      <c r="R98" s="3954" t="s">
        <v>338</v>
      </c>
      <c r="S98" s="3899" t="s">
        <v>6</v>
      </c>
      <c r="T98" s="1707"/>
      <c r="U98" s="1707" t="s">
        <v>184</v>
      </c>
      <c r="V98" s="3536" t="s">
        <v>15</v>
      </c>
      <c r="W98" s="1697"/>
      <c r="Y98" s="1191"/>
      <c r="Z98" s="1191"/>
      <c r="AA98" s="1191"/>
      <c r="AB98" s="1191"/>
      <c r="AC98" s="1866" t="s">
        <v>292</v>
      </c>
      <c r="AD98" s="1866" t="s">
        <v>293</v>
      </c>
      <c r="AE98" s="1866" t="s">
        <v>333</v>
      </c>
      <c r="AF98" s="1191" t="s">
        <v>339</v>
      </c>
      <c r="AG98" s="1191" t="s">
        <v>340</v>
      </c>
      <c r="AH98" s="1191" t="str">
        <f>IF($E$64=0,"",$E$64)</f>
        <v>Тарифы на теплоноситель, поставляемый теплоснабжающими организациями потребителям, другим теплоснабжающим организациям</v>
      </c>
      <c r="AI98" s="1191" t="str">
        <f>IF($G$64=0,"",$G$64)</f>
        <v>Производство. Теплоноситель; Передача. Теплоноситель; Сбыт. Теплоноситель</v>
      </c>
      <c r="AJ98" s="1191" t="str">
        <f>IF($J$64=0,"",$J$64)</f>
        <v>Тариф на теплоноситель, посталяемый потребителям</v>
      </c>
      <c r="AK98" s="1191" t="str">
        <f>IF($K$94="нет","без дифференциации",IF($N$94=0,"",$N$94))</f>
        <v>Территория 20</v>
      </c>
      <c r="AL98" s="1739" t="str">
        <f>IF($O$98="нет","без дифференциации",IF($R$98=0,"",$R$98))</f>
        <v>с. Издешково</v>
      </c>
      <c r="AM98" s="1739" t="str">
        <f>IF($S$98="нет","без дифференциации",IF($V$98=0,"",$V$98))</f>
        <v>без дифференциации</v>
      </c>
      <c r="AN98" s="1191">
        <f>$I$64</f>
        <v>1</v>
      </c>
      <c r="AO98" s="1191" t="str">
        <f>$I$64&amp;"."&amp;$M$94</f>
        <v>1.11</v>
      </c>
      <c r="AP98" s="1191" t="str">
        <f>$I$64&amp;"."&amp;$M$94&amp;"."&amp;$Q$98</f>
        <v>1.11.3</v>
      </c>
      <c r="AQ98" s="1191" t="str">
        <f>$I$64&amp;"."&amp;$M$94&amp;"."&amp;$Q$98&amp;"."&amp;$U$98</f>
        <v>1.11.3.1</v>
      </c>
    </row>
    <row r="99" spans="1:43" ht="17.25" customHeight="1">
      <c r="A99" s="1735"/>
      <c r="B99" s="1748"/>
      <c r="C99" s="1740"/>
      <c r="D99" s="3938"/>
      <c r="E99" s="3941"/>
      <c r="F99" s="3925"/>
      <c r="G99" s="3942"/>
      <c r="H99" s="3938"/>
      <c r="I99" s="3938"/>
      <c r="J99" s="3960"/>
      <c r="K99" s="3955"/>
      <c r="L99" s="3964"/>
      <c r="M99" s="3964"/>
      <c r="N99" s="3965"/>
      <c r="O99" s="3953"/>
      <c r="P99" s="3900"/>
      <c r="Q99" s="3900"/>
      <c r="R99" s="3954"/>
      <c r="S99" s="3899"/>
      <c r="T99" s="252"/>
      <c r="U99" s="253"/>
      <c r="V99" s="253" t="s">
        <v>235</v>
      </c>
      <c r="W99" s="254"/>
      <c r="Y99" s="1183"/>
      <c r="Z99" s="1183"/>
      <c r="AA99" s="1183"/>
      <c r="AB99" s="1183"/>
      <c r="AC99" s="1183"/>
      <c r="AD99" s="1183"/>
      <c r="AE99" s="1183"/>
      <c r="AF99" s="1183"/>
      <c r="AG99" s="1183"/>
      <c r="AH99" s="1183"/>
      <c r="AI99" s="1183"/>
      <c r="AJ99" s="1183"/>
      <c r="AK99" s="1183"/>
      <c r="AL99" s="1748"/>
      <c r="AM99" s="1748"/>
      <c r="AN99" s="1748"/>
      <c r="AO99" s="1748"/>
      <c r="AP99" s="1748"/>
      <c r="AQ99" s="1748"/>
    </row>
    <row r="100" spans="1:43" ht="17.25" customHeight="1">
      <c r="A100" s="1735"/>
      <c r="B100" s="1748"/>
      <c r="C100" s="1740"/>
      <c r="D100" s="3938"/>
      <c r="E100" s="3941"/>
      <c r="F100" s="3925"/>
      <c r="G100" s="3942"/>
      <c r="H100" s="3938"/>
      <c r="I100" s="3938"/>
      <c r="J100" s="3960"/>
      <c r="K100" s="3955"/>
      <c r="L100" s="3923"/>
      <c r="M100" s="3923"/>
      <c r="N100" s="3963"/>
      <c r="O100" s="3904"/>
      <c r="P100" s="252"/>
      <c r="Q100" s="253"/>
      <c r="R100" s="253" t="s">
        <v>236</v>
      </c>
      <c r="S100" s="1741"/>
      <c r="T100" s="1741"/>
      <c r="U100" s="1741"/>
      <c r="V100" s="1741"/>
      <c r="W100" s="254"/>
      <c r="Y100" s="1183"/>
      <c r="Z100" s="1183"/>
      <c r="AA100" s="1183"/>
      <c r="AB100" s="1183"/>
      <c r="AC100" s="1183"/>
      <c r="AD100" s="1183"/>
      <c r="AE100" s="1183"/>
      <c r="AF100" s="1183"/>
      <c r="AG100" s="1183"/>
      <c r="AH100" s="1183"/>
      <c r="AI100" s="1183"/>
      <c r="AJ100" s="1183"/>
      <c r="AK100" s="1183"/>
      <c r="AL100" s="1748"/>
      <c r="AM100" s="1748"/>
      <c r="AN100" s="1748"/>
      <c r="AO100" s="1748"/>
      <c r="AP100" s="1748"/>
      <c r="AQ100" s="1748"/>
    </row>
    <row r="101" spans="1:43" ht="17.25" customHeight="1">
      <c r="A101" s="1735"/>
      <c r="B101" s="1748"/>
      <c r="C101" s="1737"/>
      <c r="D101" s="3938"/>
      <c r="E101" s="3941"/>
      <c r="F101" s="3925"/>
      <c r="G101" s="3942"/>
      <c r="H101" s="3938"/>
      <c r="I101" s="3938"/>
      <c r="J101" s="3960"/>
      <c r="K101" s="3955"/>
      <c r="L101" s="3900" t="s">
        <v>90</v>
      </c>
      <c r="M101" s="3900" t="s">
        <v>151</v>
      </c>
      <c r="N101" s="3962" t="str">
        <f>IF(Z101="","",INDEX(TERRITORY_MR_LIST,MATCH(Z101,TERRITORY_LIST_ID,0)))</f>
        <v>Территория 21</v>
      </c>
      <c r="O101" s="3952" t="s">
        <v>53</v>
      </c>
      <c r="P101" s="3900"/>
      <c r="Q101" s="3900" t="s">
        <v>184</v>
      </c>
      <c r="R101" s="3954" t="s">
        <v>341</v>
      </c>
      <c r="S101" s="3899" t="s">
        <v>6</v>
      </c>
      <c r="T101" s="1707"/>
      <c r="U101" s="1707" t="s">
        <v>184</v>
      </c>
      <c r="V101" s="2006" t="s">
        <v>15</v>
      </c>
      <c r="W101" s="1697"/>
      <c r="Y101" s="1191"/>
      <c r="Z101" s="1191" t="s">
        <v>169</v>
      </c>
      <c r="AA101" s="1191"/>
      <c r="AB101" s="1191"/>
      <c r="AC101" s="1866" t="s">
        <v>292</v>
      </c>
      <c r="AD101" s="1866" t="s">
        <v>293</v>
      </c>
      <c r="AE101" s="1191" t="s">
        <v>342</v>
      </c>
      <c r="AF101" s="1191" t="s">
        <v>343</v>
      </c>
      <c r="AG101" s="1191" t="s">
        <v>344</v>
      </c>
      <c r="AH101" s="1191" t="str">
        <f>IF($E$64=0,"",$E$64)</f>
        <v>Тарифы на теплоноситель, поставляемый теплоснабжающими организациями потребителям, другим теплоснабжающим организациям</v>
      </c>
      <c r="AI101" s="1191" t="str">
        <f>IF($G$64=0,"",$G$64)</f>
        <v>Производство. Теплоноситель; Передача. Теплоноситель; Сбыт. Теплоноситель</v>
      </c>
      <c r="AJ101" s="1191" t="str">
        <f>IF($J$64=0,"",$J$64)</f>
        <v>Тариф на теплоноситель, посталяемый потребителям</v>
      </c>
      <c r="AK101" s="1191" t="str">
        <f>IF($K$101="нет","без дифференциации",IF($N$101=0,"",$N$101))</f>
        <v>Территория 21</v>
      </c>
      <c r="AL101" s="1739" t="str">
        <f>IF($O$101="нет","без дифференциации",IF($R$101=0,"",$R$101))</f>
        <v>Ельнинский ТУ</v>
      </c>
      <c r="AM101" s="1739" t="str">
        <f>IF($S$101="нет","без дифференциации",IF($V$101=0,"",$V$101))</f>
        <v>без дифференциации</v>
      </c>
      <c r="AN101" s="1191">
        <f>$I$64</f>
        <v>1</v>
      </c>
      <c r="AO101" s="1191" t="str">
        <f>$I$64&amp;"."&amp;$M$101</f>
        <v>1.12</v>
      </c>
      <c r="AP101" s="1191" t="str">
        <f>$I$64&amp;"."&amp;$M$101&amp;"."&amp;$Q$101</f>
        <v>1.12.1</v>
      </c>
      <c r="AQ101" s="1191" t="str">
        <f>$I$64&amp;"."&amp;$M$101&amp;"."&amp;$Q$101&amp;"."&amp;$U$101</f>
        <v>1.12.1.1</v>
      </c>
    </row>
    <row r="102" spans="1:43" ht="17.25" customHeight="1">
      <c r="A102" s="1735"/>
      <c r="B102" s="1748"/>
      <c r="C102" s="1740"/>
      <c r="D102" s="3938"/>
      <c r="E102" s="3941"/>
      <c r="F102" s="3925"/>
      <c r="G102" s="3942"/>
      <c r="H102" s="3938"/>
      <c r="I102" s="3938"/>
      <c r="J102" s="3960"/>
      <c r="K102" s="3955"/>
      <c r="L102" s="3900"/>
      <c r="M102" s="3900"/>
      <c r="N102" s="3962"/>
      <c r="O102" s="3953"/>
      <c r="P102" s="3900"/>
      <c r="Q102" s="3900"/>
      <c r="R102" s="3954"/>
      <c r="S102" s="3899"/>
      <c r="T102" s="252"/>
      <c r="U102" s="253"/>
      <c r="V102" s="253" t="s">
        <v>235</v>
      </c>
      <c r="W102" s="254"/>
      <c r="Y102" s="1183"/>
      <c r="Z102" s="1183"/>
      <c r="AA102" s="1183"/>
      <c r="AB102" s="1183"/>
      <c r="AC102" s="1183"/>
      <c r="AD102" s="1183"/>
      <c r="AE102" s="1183"/>
      <c r="AF102" s="1183"/>
      <c r="AG102" s="1183"/>
      <c r="AH102" s="1183"/>
      <c r="AI102" s="1183"/>
      <c r="AJ102" s="1183"/>
      <c r="AK102" s="1183"/>
      <c r="AL102" s="1748"/>
      <c r="AM102" s="1748"/>
      <c r="AN102" s="1748"/>
      <c r="AO102" s="1748"/>
      <c r="AP102" s="1748"/>
      <c r="AQ102" s="1748"/>
    </row>
    <row r="103" spans="1:43" ht="17.25" customHeight="1">
      <c r="A103" s="1735"/>
      <c r="B103" s="1748"/>
      <c r="C103" s="1740"/>
      <c r="D103" s="3938"/>
      <c r="E103" s="3941"/>
      <c r="F103" s="3925"/>
      <c r="G103" s="3942"/>
      <c r="H103" s="3938"/>
      <c r="I103" s="3938"/>
      <c r="J103" s="3960"/>
      <c r="K103" s="3955"/>
      <c r="L103" s="3923"/>
      <c r="M103" s="3923"/>
      <c r="N103" s="3963"/>
      <c r="O103" s="3904"/>
      <c r="P103" s="252"/>
      <c r="Q103" s="253"/>
      <c r="R103" s="253" t="s">
        <v>236</v>
      </c>
      <c r="S103" s="1741"/>
      <c r="T103" s="1741"/>
      <c r="U103" s="1741"/>
      <c r="V103" s="1741"/>
      <c r="W103" s="254"/>
      <c r="Y103" s="1183"/>
      <c r="Z103" s="1183"/>
      <c r="AA103" s="1183"/>
      <c r="AB103" s="1183"/>
      <c r="AC103" s="1183"/>
      <c r="AD103" s="1183"/>
      <c r="AE103" s="1183"/>
      <c r="AF103" s="1183"/>
      <c r="AG103" s="1183"/>
      <c r="AH103" s="1183"/>
      <c r="AI103" s="1183"/>
      <c r="AJ103" s="1183"/>
      <c r="AK103" s="1183"/>
      <c r="AL103" s="1748"/>
      <c r="AM103" s="1748"/>
      <c r="AN103" s="1748"/>
      <c r="AO103" s="1748"/>
      <c r="AP103" s="1748"/>
      <c r="AQ103" s="1748"/>
    </row>
    <row r="104" spans="1:43" ht="17.25" customHeight="1">
      <c r="A104" s="1735"/>
      <c r="B104" s="1748"/>
      <c r="C104" s="1737"/>
      <c r="D104" s="3938"/>
      <c r="E104" s="3941"/>
      <c r="F104" s="3925"/>
      <c r="G104" s="3942"/>
      <c r="H104" s="3938"/>
      <c r="I104" s="3938"/>
      <c r="J104" s="3960"/>
      <c r="K104" s="3955"/>
      <c r="L104" s="3900" t="s">
        <v>90</v>
      </c>
      <c r="M104" s="3900" t="s">
        <v>153</v>
      </c>
      <c r="N104" s="3962" t="str">
        <f>IF(Z104="","",INDEX(TERRITORY_MR_LIST,MATCH(Z104,TERRITORY_LIST_ID,0)))</f>
        <v>Территория 22</v>
      </c>
      <c r="O104" s="3952" t="s">
        <v>53</v>
      </c>
      <c r="P104" s="3900"/>
      <c r="Q104" s="3900" t="s">
        <v>184</v>
      </c>
      <c r="R104" s="3954" t="s">
        <v>345</v>
      </c>
      <c r="S104" s="3899" t="s">
        <v>6</v>
      </c>
      <c r="T104" s="1707"/>
      <c r="U104" s="1707" t="s">
        <v>184</v>
      </c>
      <c r="V104" s="2006" t="s">
        <v>15</v>
      </c>
      <c r="W104" s="1697"/>
      <c r="Y104" s="1191"/>
      <c r="Z104" s="1191" t="s">
        <v>171</v>
      </c>
      <c r="AA104" s="1191"/>
      <c r="AB104" s="1191"/>
      <c r="AC104" s="1866" t="s">
        <v>292</v>
      </c>
      <c r="AD104" s="1866" t="s">
        <v>293</v>
      </c>
      <c r="AE104" s="1191" t="s">
        <v>346</v>
      </c>
      <c r="AF104" s="1191" t="s">
        <v>347</v>
      </c>
      <c r="AG104" s="1191" t="s">
        <v>348</v>
      </c>
      <c r="AH104" s="1191" t="str">
        <f>IF($E$64=0,"",$E$64)</f>
        <v>Тарифы на теплоноситель, поставляемый теплоснабжающими организациями потребителям, другим теплоснабжающим организациям</v>
      </c>
      <c r="AI104" s="1191" t="str">
        <f>IF($G$64=0,"",$G$64)</f>
        <v>Производство. Теплоноситель; Передача. Теплоноситель; Сбыт. Теплоноситель</v>
      </c>
      <c r="AJ104" s="1191" t="str">
        <f>IF($J$64=0,"",$J$64)</f>
        <v>Тариф на теплоноситель, посталяемый потребителям</v>
      </c>
      <c r="AK104" s="1191" t="str">
        <f>IF($K$104="нет","без дифференциации",IF($N$104=0,"",$N$104))</f>
        <v>Территория 22</v>
      </c>
      <c r="AL104" s="1739" t="str">
        <f>IF($O$104="нет","без дифференциации",IF($R$104=0,"",$R$104))</f>
        <v>Духовщинский ТУ</v>
      </c>
      <c r="AM104" s="1739" t="str">
        <f>IF($S$104="нет","без дифференциации",IF($V$104=0,"",$V$104))</f>
        <v>без дифференциации</v>
      </c>
      <c r="AN104" s="1191">
        <f>$I$64</f>
        <v>1</v>
      </c>
      <c r="AO104" s="1191" t="str">
        <f>$I$64&amp;"."&amp;$M$104</f>
        <v>1.13</v>
      </c>
      <c r="AP104" s="1191" t="str">
        <f>$I$64&amp;"."&amp;$M$104&amp;"."&amp;$Q$104</f>
        <v>1.13.1</v>
      </c>
      <c r="AQ104" s="1191" t="str">
        <f>$I$64&amp;"."&amp;$M$104&amp;"."&amp;$Q$104&amp;"."&amp;$U$104</f>
        <v>1.13.1.1</v>
      </c>
    </row>
    <row r="105" spans="1:43" ht="17.25" customHeight="1">
      <c r="A105" s="1735"/>
      <c r="B105" s="1748"/>
      <c r="C105" s="1740"/>
      <c r="D105" s="3938"/>
      <c r="E105" s="3941"/>
      <c r="F105" s="3925"/>
      <c r="G105" s="3942"/>
      <c r="H105" s="3938"/>
      <c r="I105" s="3938"/>
      <c r="J105" s="3960"/>
      <c r="K105" s="3955"/>
      <c r="L105" s="3900"/>
      <c r="M105" s="3900"/>
      <c r="N105" s="3962"/>
      <c r="O105" s="3953"/>
      <c r="P105" s="3900"/>
      <c r="Q105" s="3900"/>
      <c r="R105" s="3954"/>
      <c r="S105" s="3899"/>
      <c r="T105" s="252"/>
      <c r="U105" s="253"/>
      <c r="V105" s="253" t="s">
        <v>235</v>
      </c>
      <c r="W105" s="254"/>
      <c r="Y105" s="1183"/>
      <c r="Z105" s="1183"/>
      <c r="AA105" s="1183"/>
      <c r="AB105" s="1183"/>
      <c r="AC105" s="1183"/>
      <c r="AD105" s="1183"/>
      <c r="AE105" s="1183"/>
      <c r="AF105" s="1183"/>
      <c r="AG105" s="1183"/>
      <c r="AH105" s="1183"/>
      <c r="AI105" s="1183"/>
      <c r="AJ105" s="1183"/>
      <c r="AK105" s="1183"/>
      <c r="AL105" s="1748"/>
      <c r="AM105" s="1748"/>
      <c r="AN105" s="1748"/>
      <c r="AO105" s="1748"/>
      <c r="AP105" s="1748"/>
      <c r="AQ105" s="1748"/>
    </row>
    <row r="106" spans="1:43" ht="17.25" customHeight="1">
      <c r="A106" s="1735"/>
      <c r="B106" s="1748"/>
      <c r="C106" s="1740"/>
      <c r="D106" s="3938"/>
      <c r="E106" s="3941"/>
      <c r="F106" s="3925"/>
      <c r="G106" s="3942"/>
      <c r="H106" s="3938"/>
      <c r="I106" s="3938"/>
      <c r="J106" s="3960"/>
      <c r="K106" s="3955"/>
      <c r="L106" s="3923"/>
      <c r="M106" s="3923"/>
      <c r="N106" s="3963"/>
      <c r="O106" s="3904"/>
      <c r="P106" s="252"/>
      <c r="Q106" s="253"/>
      <c r="R106" s="253" t="s">
        <v>236</v>
      </c>
      <c r="S106" s="1741"/>
      <c r="T106" s="1741"/>
      <c r="U106" s="1741"/>
      <c r="V106" s="1741"/>
      <c r="W106" s="254"/>
      <c r="Y106" s="1183"/>
      <c r="Z106" s="1183"/>
      <c r="AA106" s="1183"/>
      <c r="AB106" s="1183"/>
      <c r="AC106" s="1183"/>
      <c r="AD106" s="1183"/>
      <c r="AE106" s="1183"/>
      <c r="AF106" s="1183"/>
      <c r="AG106" s="1183"/>
      <c r="AH106" s="1183"/>
      <c r="AI106" s="1183"/>
      <c r="AJ106" s="1183"/>
      <c r="AK106" s="1183"/>
      <c r="AL106" s="1748"/>
      <c r="AM106" s="1748"/>
      <c r="AN106" s="1748"/>
      <c r="AO106" s="1748"/>
      <c r="AP106" s="1748"/>
      <c r="AQ106" s="1748"/>
    </row>
    <row r="107" spans="1:43" ht="17.25" customHeight="1">
      <c r="A107" s="1735"/>
      <c r="B107" s="1748"/>
      <c r="C107" s="1737"/>
      <c r="D107" s="3938"/>
      <c r="E107" s="3941"/>
      <c r="F107" s="3925"/>
      <c r="G107" s="3942"/>
      <c r="H107" s="3938"/>
      <c r="I107" s="3938"/>
      <c r="J107" s="3960"/>
      <c r="K107" s="3955"/>
      <c r="L107" s="3900" t="s">
        <v>90</v>
      </c>
      <c r="M107" s="3900" t="s">
        <v>155</v>
      </c>
      <c r="N107" s="3962" t="str">
        <f>IF(Z107="","",INDEX(TERRITORY_MR_LIST,MATCH(Z107,TERRITORY_LIST_ID,0)))</f>
        <v>Территория 7</v>
      </c>
      <c r="O107" s="3952" t="s">
        <v>53</v>
      </c>
      <c r="P107" s="3900"/>
      <c r="Q107" s="3900" t="s">
        <v>184</v>
      </c>
      <c r="R107" s="3954" t="s">
        <v>349</v>
      </c>
      <c r="S107" s="3899" t="s">
        <v>6</v>
      </c>
      <c r="T107" s="1707"/>
      <c r="U107" s="1707" t="s">
        <v>184</v>
      </c>
      <c r="V107" s="2006" t="s">
        <v>15</v>
      </c>
      <c r="W107" s="1697"/>
      <c r="Y107" s="1191"/>
      <c r="Z107" s="1191" t="s">
        <v>130</v>
      </c>
      <c r="AA107" s="1191"/>
      <c r="AB107" s="1191"/>
      <c r="AC107" s="1866" t="s">
        <v>292</v>
      </c>
      <c r="AD107" s="1866" t="s">
        <v>293</v>
      </c>
      <c r="AE107" s="1191" t="s">
        <v>350</v>
      </c>
      <c r="AF107" s="1191" t="s">
        <v>351</v>
      </c>
      <c r="AG107" s="1191" t="s">
        <v>352</v>
      </c>
      <c r="AH107" s="1191" t="str">
        <f>IF($E$64=0,"",$E$64)</f>
        <v>Тарифы на теплоноситель, поставляемый теплоснабжающими организациями потребителям, другим теплоснабжающим организациям</v>
      </c>
      <c r="AI107" s="1191" t="str">
        <f>IF($G$64=0,"",$G$64)</f>
        <v>Производство. Теплоноситель; Передача. Теплоноситель; Сбыт. Теплоноситель</v>
      </c>
      <c r="AJ107" s="1191" t="str">
        <f>IF($J$64=0,"",$J$64)</f>
        <v>Тариф на теплоноситель, посталяемый потребителям</v>
      </c>
      <c r="AK107" s="1191" t="str">
        <f>IF($K$107="нет","без дифференциации",IF($N$107=0,"",$N$107))</f>
        <v>Территория 7</v>
      </c>
      <c r="AL107" s="1739" t="str">
        <f>IF($O$107="нет","без дифференциации",IF($R$107=0,"",$R$107))</f>
        <v>Дорогобужский ТУ котельная БМК Михайловское</v>
      </c>
      <c r="AM107" s="1739" t="str">
        <f>IF($S$107="нет","без дифференциации",IF($V$107=0,"",$V$107))</f>
        <v>без дифференциации</v>
      </c>
      <c r="AN107" s="1191">
        <f>$I$64</f>
        <v>1</v>
      </c>
      <c r="AO107" s="1191" t="str">
        <f>$I$64&amp;"."&amp;$M$107</f>
        <v>1.14</v>
      </c>
      <c r="AP107" s="1191" t="str">
        <f>$I$64&amp;"."&amp;$M$107&amp;"."&amp;$Q$107</f>
        <v>1.14.1</v>
      </c>
      <c r="AQ107" s="1191" t="str">
        <f>$I$64&amp;"."&amp;$M$107&amp;"."&amp;$Q$107&amp;"."&amp;$U$107</f>
        <v>1.14.1.1</v>
      </c>
    </row>
    <row r="108" spans="1:43" ht="17.25" customHeight="1">
      <c r="A108" s="1735"/>
      <c r="B108" s="1748"/>
      <c r="C108" s="1740"/>
      <c r="D108" s="3938"/>
      <c r="E108" s="3941"/>
      <c r="F108" s="3925"/>
      <c r="G108" s="3942"/>
      <c r="H108" s="3938"/>
      <c r="I108" s="3938"/>
      <c r="J108" s="3960"/>
      <c r="K108" s="3955"/>
      <c r="L108" s="3900"/>
      <c r="M108" s="3900"/>
      <c r="N108" s="3962"/>
      <c r="O108" s="3953"/>
      <c r="P108" s="3900"/>
      <c r="Q108" s="3900"/>
      <c r="R108" s="3954"/>
      <c r="S108" s="3899"/>
      <c r="T108" s="252"/>
      <c r="U108" s="253"/>
      <c r="V108" s="253" t="s">
        <v>235</v>
      </c>
      <c r="W108" s="254"/>
      <c r="Y108" s="1183"/>
      <c r="Z108" s="1183"/>
      <c r="AA108" s="1183"/>
      <c r="AB108" s="1183"/>
      <c r="AC108" s="1183"/>
      <c r="AD108" s="1183"/>
      <c r="AE108" s="1183"/>
      <c r="AF108" s="1183"/>
      <c r="AG108" s="1183"/>
      <c r="AH108" s="1183"/>
      <c r="AI108" s="1183"/>
      <c r="AJ108" s="1183"/>
      <c r="AK108" s="1183"/>
      <c r="AL108" s="1748"/>
      <c r="AM108" s="1748"/>
      <c r="AN108" s="1748"/>
      <c r="AO108" s="1748"/>
      <c r="AP108" s="1748"/>
      <c r="AQ108" s="1748"/>
    </row>
    <row r="109" spans="1:43" ht="17.25" customHeight="1">
      <c r="A109" s="1735"/>
      <c r="B109" s="1748"/>
      <c r="C109" s="1740"/>
      <c r="D109" s="3938"/>
      <c r="E109" s="3941"/>
      <c r="F109" s="3925"/>
      <c r="G109" s="3942"/>
      <c r="H109" s="3938"/>
      <c r="I109" s="3938"/>
      <c r="J109" s="3960"/>
      <c r="K109" s="3955"/>
      <c r="L109" s="3923"/>
      <c r="M109" s="3923"/>
      <c r="N109" s="3963"/>
      <c r="O109" s="3904"/>
      <c r="P109" s="252"/>
      <c r="Q109" s="253"/>
      <c r="R109" s="253" t="s">
        <v>236</v>
      </c>
      <c r="S109" s="1741"/>
      <c r="T109" s="1741"/>
      <c r="U109" s="1741"/>
      <c r="V109" s="1741"/>
      <c r="W109" s="254"/>
      <c r="Y109" s="1183"/>
      <c r="Z109" s="1183"/>
      <c r="AA109" s="1183"/>
      <c r="AB109" s="1183"/>
      <c r="AC109" s="1183"/>
      <c r="AD109" s="1183"/>
      <c r="AE109" s="1183"/>
      <c r="AF109" s="1183"/>
      <c r="AG109" s="1183"/>
      <c r="AH109" s="1183"/>
      <c r="AI109" s="1183"/>
      <c r="AJ109" s="1183"/>
      <c r="AK109" s="1183"/>
      <c r="AL109" s="1748"/>
      <c r="AM109" s="1748"/>
      <c r="AN109" s="1748"/>
      <c r="AO109" s="1748"/>
      <c r="AP109" s="1748"/>
      <c r="AQ109" s="1748"/>
    </row>
    <row r="110" spans="1:43" ht="17.25" customHeight="1">
      <c r="A110" s="1735"/>
      <c r="B110" s="1748"/>
      <c r="C110" s="1737"/>
      <c r="D110" s="3938"/>
      <c r="E110" s="3941"/>
      <c r="F110" s="3925"/>
      <c r="G110" s="3942"/>
      <c r="H110" s="3938"/>
      <c r="I110" s="3938"/>
      <c r="J110" s="3960"/>
      <c r="K110" s="3955"/>
      <c r="L110" s="3900" t="s">
        <v>90</v>
      </c>
      <c r="M110" s="3900" t="s">
        <v>157</v>
      </c>
      <c r="N110" s="3962" t="str">
        <f>IF(Z110="","",INDEX(TERRITORY_MR_LIST,MATCH(Z110,TERRITORY_LIST_ID,0)))</f>
        <v>Территория 8</v>
      </c>
      <c r="O110" s="3952" t="s">
        <v>53</v>
      </c>
      <c r="P110" s="3900"/>
      <c r="Q110" s="3900" t="s">
        <v>184</v>
      </c>
      <c r="R110" s="3954" t="s">
        <v>353</v>
      </c>
      <c r="S110" s="3899" t="s">
        <v>6</v>
      </c>
      <c r="T110" s="1707"/>
      <c r="U110" s="1707" t="s">
        <v>184</v>
      </c>
      <c r="V110" s="2006" t="s">
        <v>15</v>
      </c>
      <c r="W110" s="1697"/>
      <c r="Y110" s="1191"/>
      <c r="Z110" s="1191" t="s">
        <v>135</v>
      </c>
      <c r="AA110" s="1191"/>
      <c r="AB110" s="1191"/>
      <c r="AC110" s="1866" t="s">
        <v>292</v>
      </c>
      <c r="AD110" s="1866" t="s">
        <v>293</v>
      </c>
      <c r="AE110" s="1191" t="s">
        <v>354</v>
      </c>
      <c r="AF110" s="1191" t="s">
        <v>355</v>
      </c>
      <c r="AG110" s="1191" t="s">
        <v>356</v>
      </c>
      <c r="AH110" s="1191" t="str">
        <f>IF($E$64=0,"",$E$64)</f>
        <v>Тарифы на теплоноситель, поставляемый теплоснабжающими организациями потребителям, другим теплоснабжающим организациям</v>
      </c>
      <c r="AI110" s="1191" t="str">
        <f>IF($G$64=0,"",$G$64)</f>
        <v>Производство. Теплоноситель; Передача. Теплоноситель; Сбыт. Теплоноситель</v>
      </c>
      <c r="AJ110" s="1191" t="str">
        <f>IF($J$64=0,"",$J$64)</f>
        <v>Тариф на теплоноситель, посталяемый потребителям</v>
      </c>
      <c r="AK110" s="1191" t="str">
        <f>IF($K$110="нет","без дифференциации",IF($N$110=0,"",$N$110))</f>
        <v>Территория 8</v>
      </c>
      <c r="AL110" s="1739" t="str">
        <f>IF($O$110="нет","без дифференциации",IF($R$110=0,"",$R$110))</f>
        <v>Холм-Жирковский ТУ</v>
      </c>
      <c r="AM110" s="1739" t="str">
        <f>IF($S$110="нет","без дифференциации",IF($V$110=0,"",$V$110))</f>
        <v>без дифференциации</v>
      </c>
      <c r="AN110" s="1191">
        <f>$I$64</f>
        <v>1</v>
      </c>
      <c r="AO110" s="1191" t="str">
        <f>$I$64&amp;"."&amp;$M$110</f>
        <v>1.15</v>
      </c>
      <c r="AP110" s="1191" t="str">
        <f>$I$64&amp;"."&amp;$M$110&amp;"."&amp;$Q$110</f>
        <v>1.15.1</v>
      </c>
      <c r="AQ110" s="1191" t="str">
        <f>$I$64&amp;"."&amp;$M$110&amp;"."&amp;$Q$110&amp;"."&amp;$U$110</f>
        <v>1.15.1.1</v>
      </c>
    </row>
    <row r="111" spans="1:43" ht="17.25" customHeight="1">
      <c r="A111" s="1735"/>
      <c r="B111" s="1748"/>
      <c r="C111" s="1740"/>
      <c r="D111" s="3938"/>
      <c r="E111" s="3941"/>
      <c r="F111" s="3925"/>
      <c r="G111" s="3942"/>
      <c r="H111" s="3938"/>
      <c r="I111" s="3938"/>
      <c r="J111" s="3960"/>
      <c r="K111" s="3955"/>
      <c r="L111" s="3900"/>
      <c r="M111" s="3900"/>
      <c r="N111" s="3962"/>
      <c r="O111" s="3953"/>
      <c r="P111" s="3900"/>
      <c r="Q111" s="3900"/>
      <c r="R111" s="3954"/>
      <c r="S111" s="3899"/>
      <c r="T111" s="252"/>
      <c r="U111" s="253"/>
      <c r="V111" s="253" t="s">
        <v>235</v>
      </c>
      <c r="W111" s="254"/>
      <c r="Y111" s="1183"/>
      <c r="Z111" s="1183"/>
      <c r="AA111" s="1183"/>
      <c r="AB111" s="1183"/>
      <c r="AC111" s="1183"/>
      <c r="AD111" s="1183"/>
      <c r="AE111" s="1183"/>
      <c r="AF111" s="1183"/>
      <c r="AG111" s="1183"/>
      <c r="AH111" s="1183"/>
      <c r="AI111" s="1183"/>
      <c r="AJ111" s="1183"/>
      <c r="AK111" s="1183"/>
      <c r="AL111" s="1748"/>
      <c r="AM111" s="1748"/>
      <c r="AN111" s="1748"/>
      <c r="AO111" s="1748"/>
      <c r="AP111" s="1748"/>
      <c r="AQ111" s="1748"/>
    </row>
    <row r="112" spans="1:43" ht="17.25" customHeight="1">
      <c r="A112" s="1735"/>
      <c r="B112" s="1748"/>
      <c r="C112" s="1737"/>
      <c r="D112" s="3938"/>
      <c r="E112" s="3941"/>
      <c r="F112" s="3925"/>
      <c r="G112" s="3942"/>
      <c r="H112" s="3938"/>
      <c r="I112" s="3938"/>
      <c r="J112" s="3960"/>
      <c r="K112" s="3955"/>
      <c r="L112" s="3964"/>
      <c r="M112" s="3964"/>
      <c r="N112" s="3965"/>
      <c r="O112" s="3953"/>
      <c r="P112" s="3900" t="s">
        <v>90</v>
      </c>
      <c r="Q112" s="3900" t="s">
        <v>89</v>
      </c>
      <c r="R112" s="3954" t="s">
        <v>357</v>
      </c>
      <c r="S112" s="3899" t="s">
        <v>6</v>
      </c>
      <c r="T112" s="1707"/>
      <c r="U112" s="1707" t="s">
        <v>184</v>
      </c>
      <c r="V112" s="3536" t="s">
        <v>15</v>
      </c>
      <c r="W112" s="1697"/>
      <c r="Y112" s="1191"/>
      <c r="Z112" s="1191"/>
      <c r="AA112" s="1191"/>
      <c r="AB112" s="1191"/>
      <c r="AC112" s="1866" t="s">
        <v>292</v>
      </c>
      <c r="AD112" s="1866" t="s">
        <v>293</v>
      </c>
      <c r="AE112" s="1866" t="s">
        <v>354</v>
      </c>
      <c r="AF112" s="1191" t="s">
        <v>358</v>
      </c>
      <c r="AG112" s="1191" t="s">
        <v>359</v>
      </c>
      <c r="AH112" s="1191" t="str">
        <f>IF($E$64=0,"",$E$64)</f>
        <v>Тарифы на теплоноситель, поставляемый теплоснабжающими организациями потребителям, другим теплоснабжающим организациям</v>
      </c>
      <c r="AI112" s="1191" t="str">
        <f>IF($G$64=0,"",$G$64)</f>
        <v>Производство. Теплоноситель; Передача. Теплоноситель; Сбыт. Теплоноситель</v>
      </c>
      <c r="AJ112" s="1191" t="str">
        <f>IF($J$64=0,"",$J$64)</f>
        <v>Тариф на теплоноситель, посталяемый потребителям</v>
      </c>
      <c r="AK112" s="1191" t="str">
        <f>IF($K$110="нет","без дифференциации",IF($N$110=0,"",$N$110))</f>
        <v>Территория 8</v>
      </c>
      <c r="AL112" s="1739" t="str">
        <f>IF($O$112="нет","без дифференциации",IF($R$112=0,"",$R$112))</f>
        <v>котельные п. Холм-Жирковский, ул. Кирова и ул. Советская</v>
      </c>
      <c r="AM112" s="1739" t="str">
        <f>IF($S$112="нет","без дифференциации",IF($V$112=0,"",$V$112))</f>
        <v>без дифференциации</v>
      </c>
      <c r="AN112" s="1191">
        <f>$I$64</f>
        <v>1</v>
      </c>
      <c r="AO112" s="1191" t="str">
        <f>$I$64&amp;"."&amp;$M$110</f>
        <v>1.15</v>
      </c>
      <c r="AP112" s="1191" t="str">
        <f>$I$64&amp;"."&amp;$M$110&amp;"."&amp;$Q$112</f>
        <v>1.15.2</v>
      </c>
      <c r="AQ112" s="1191" t="str">
        <f>$I$64&amp;"."&amp;$M$110&amp;"."&amp;$Q$112&amp;"."&amp;$U$112</f>
        <v>1.15.2.1</v>
      </c>
    </row>
    <row r="113" spans="1:43" ht="17.25" customHeight="1">
      <c r="A113" s="1735"/>
      <c r="B113" s="1748"/>
      <c r="C113" s="1740"/>
      <c r="D113" s="3938"/>
      <c r="E113" s="3941"/>
      <c r="F113" s="3925"/>
      <c r="G113" s="3942"/>
      <c r="H113" s="3938"/>
      <c r="I113" s="3938"/>
      <c r="J113" s="3960"/>
      <c r="K113" s="3955"/>
      <c r="L113" s="3964"/>
      <c r="M113" s="3964"/>
      <c r="N113" s="3965"/>
      <c r="O113" s="3953"/>
      <c r="P113" s="3900"/>
      <c r="Q113" s="3900"/>
      <c r="R113" s="3954"/>
      <c r="S113" s="3899"/>
      <c r="T113" s="252"/>
      <c r="U113" s="253"/>
      <c r="V113" s="253" t="s">
        <v>235</v>
      </c>
      <c r="W113" s="254"/>
      <c r="Y113" s="1183"/>
      <c r="Z113" s="1183"/>
      <c r="AA113" s="1183"/>
      <c r="AB113" s="1183"/>
      <c r="AC113" s="1183"/>
      <c r="AD113" s="1183"/>
      <c r="AE113" s="1183"/>
      <c r="AF113" s="1183"/>
      <c r="AG113" s="1183"/>
      <c r="AH113" s="1183"/>
      <c r="AI113" s="1183"/>
      <c r="AJ113" s="1183"/>
      <c r="AK113" s="1183"/>
      <c r="AL113" s="1748"/>
      <c r="AM113" s="1748"/>
      <c r="AN113" s="1748"/>
      <c r="AO113" s="1748"/>
      <c r="AP113" s="1748"/>
      <c r="AQ113" s="1748"/>
    </row>
    <row r="114" spans="1:43" ht="17.25" customHeight="1">
      <c r="A114" s="1735"/>
      <c r="B114" s="1748"/>
      <c r="C114" s="1740"/>
      <c r="D114" s="3938"/>
      <c r="E114" s="3941"/>
      <c r="F114" s="3925"/>
      <c r="G114" s="3942"/>
      <c r="H114" s="3938"/>
      <c r="I114" s="3938"/>
      <c r="J114" s="3960"/>
      <c r="K114" s="3955"/>
      <c r="L114" s="3923"/>
      <c r="M114" s="3923"/>
      <c r="N114" s="3963"/>
      <c r="O114" s="3904"/>
      <c r="P114" s="252"/>
      <c r="Q114" s="253"/>
      <c r="R114" s="253" t="s">
        <v>236</v>
      </c>
      <c r="S114" s="1741"/>
      <c r="T114" s="1741"/>
      <c r="U114" s="1741"/>
      <c r="V114" s="1741"/>
      <c r="W114" s="254"/>
      <c r="Y114" s="1183"/>
      <c r="Z114" s="1183"/>
      <c r="AA114" s="1183"/>
      <c r="AB114" s="1183"/>
      <c r="AC114" s="1183"/>
      <c r="AD114" s="1183"/>
      <c r="AE114" s="1183"/>
      <c r="AF114" s="1183"/>
      <c r="AG114" s="1183"/>
      <c r="AH114" s="1183"/>
      <c r="AI114" s="1183"/>
      <c r="AJ114" s="1183"/>
      <c r="AK114" s="1183"/>
      <c r="AL114" s="1748"/>
      <c r="AM114" s="1748"/>
      <c r="AN114" s="1748"/>
      <c r="AO114" s="1748"/>
      <c r="AP114" s="1748"/>
      <c r="AQ114" s="1748"/>
    </row>
    <row r="115" spans="1:43" ht="17.25" customHeight="1">
      <c r="A115" s="1735"/>
      <c r="B115" s="1748"/>
      <c r="C115" s="1737"/>
      <c r="D115" s="3938"/>
      <c r="E115" s="3941"/>
      <c r="F115" s="3925"/>
      <c r="G115" s="3942"/>
      <c r="H115" s="3938"/>
      <c r="I115" s="3938"/>
      <c r="J115" s="3960"/>
      <c r="K115" s="3955"/>
      <c r="L115" s="3900" t="s">
        <v>90</v>
      </c>
      <c r="M115" s="3900" t="s">
        <v>159</v>
      </c>
      <c r="N115" s="3962" t="str">
        <f>IF(Z115="","",INDEX(TERRITORY_MR_LIST,MATCH(Z115,TERRITORY_LIST_ID,0)))</f>
        <v>Территория 23</v>
      </c>
      <c r="O115" s="3952" t="s">
        <v>53</v>
      </c>
      <c r="P115" s="3900"/>
      <c r="Q115" s="3900" t="s">
        <v>184</v>
      </c>
      <c r="R115" s="3954" t="s">
        <v>360</v>
      </c>
      <c r="S115" s="3899" t="s">
        <v>6</v>
      </c>
      <c r="T115" s="1707"/>
      <c r="U115" s="1707" t="s">
        <v>184</v>
      </c>
      <c r="V115" s="2006" t="s">
        <v>15</v>
      </c>
      <c r="W115" s="1697"/>
      <c r="Y115" s="1191"/>
      <c r="Z115" s="1191" t="s">
        <v>173</v>
      </c>
      <c r="AA115" s="1191"/>
      <c r="AB115" s="1191"/>
      <c r="AC115" s="1866" t="s">
        <v>292</v>
      </c>
      <c r="AD115" s="1866" t="s">
        <v>293</v>
      </c>
      <c r="AE115" s="1191" t="s">
        <v>361</v>
      </c>
      <c r="AF115" s="1191" t="s">
        <v>362</v>
      </c>
      <c r="AG115" s="1191" t="s">
        <v>363</v>
      </c>
      <c r="AH115" s="1191" t="str">
        <f>IF($E$64=0,"",$E$64)</f>
        <v>Тарифы на теплоноситель, поставляемый теплоснабжающими организациями потребителям, другим теплоснабжающим организациям</v>
      </c>
      <c r="AI115" s="1191" t="str">
        <f>IF($G$64=0,"",$G$64)</f>
        <v>Производство. Теплоноситель; Передача. Теплоноситель; Сбыт. Теплоноситель</v>
      </c>
      <c r="AJ115" s="1191" t="str">
        <f>IF($J$64=0,"",$J$64)</f>
        <v>Тариф на теплоноситель, посталяемый потребителям</v>
      </c>
      <c r="AK115" s="1191" t="str">
        <f>IF($K$115="нет","без дифференциации",IF($N$115=0,"",$N$115))</f>
        <v>Территория 23</v>
      </c>
      <c r="AL115" s="1739" t="str">
        <f>IF($O$115="нет","без дифференциации",IF($R$115=0,"",$R$115))</f>
        <v>кот. с. Игоревская</v>
      </c>
      <c r="AM115" s="1739" t="str">
        <f>IF($S$115="нет","без дифференциации",IF($V$115=0,"",$V$115))</f>
        <v>без дифференциации</v>
      </c>
      <c r="AN115" s="1191">
        <f>$I$64</f>
        <v>1</v>
      </c>
      <c r="AO115" s="1191" t="str">
        <f>$I$64&amp;"."&amp;$M$115</f>
        <v>1.16</v>
      </c>
      <c r="AP115" s="1191" t="str">
        <f>$I$64&amp;"."&amp;$M$115&amp;"."&amp;$Q$115</f>
        <v>1.16.1</v>
      </c>
      <c r="AQ115" s="1191" t="str">
        <f>$I$64&amp;"."&amp;$M$115&amp;"."&amp;$Q$115&amp;"."&amp;$U$115</f>
        <v>1.16.1.1</v>
      </c>
    </row>
    <row r="116" spans="1:43" ht="17.25" customHeight="1">
      <c r="A116" s="1735"/>
      <c r="B116" s="1748"/>
      <c r="C116" s="1740"/>
      <c r="D116" s="3938"/>
      <c r="E116" s="3941"/>
      <c r="F116" s="3925"/>
      <c r="G116" s="3942"/>
      <c r="H116" s="3938"/>
      <c r="I116" s="3938"/>
      <c r="J116" s="3960"/>
      <c r="K116" s="3955"/>
      <c r="L116" s="3900"/>
      <c r="M116" s="3900"/>
      <c r="N116" s="3962"/>
      <c r="O116" s="3953"/>
      <c r="P116" s="3900"/>
      <c r="Q116" s="3900"/>
      <c r="R116" s="3954"/>
      <c r="S116" s="3899"/>
      <c r="T116" s="252"/>
      <c r="U116" s="253"/>
      <c r="V116" s="253" t="s">
        <v>235</v>
      </c>
      <c r="W116" s="254"/>
      <c r="Y116" s="1183"/>
      <c r="Z116" s="1183"/>
      <c r="AA116" s="1183"/>
      <c r="AB116" s="1183"/>
      <c r="AC116" s="1183"/>
      <c r="AD116" s="1183"/>
      <c r="AE116" s="1183"/>
      <c r="AF116" s="1183"/>
      <c r="AG116" s="1183"/>
      <c r="AH116" s="1183"/>
      <c r="AI116" s="1183"/>
      <c r="AJ116" s="1183"/>
      <c r="AK116" s="1183"/>
      <c r="AL116" s="1748"/>
      <c r="AM116" s="1748"/>
      <c r="AN116" s="1748"/>
      <c r="AO116" s="1748"/>
      <c r="AP116" s="1748"/>
      <c r="AQ116" s="1748"/>
    </row>
    <row r="117" spans="1:43" ht="17.25" customHeight="1">
      <c r="A117" s="1735"/>
      <c r="B117" s="1748"/>
      <c r="C117" s="1740"/>
      <c r="D117" s="3938"/>
      <c r="E117" s="3941"/>
      <c r="F117" s="3925"/>
      <c r="G117" s="3942"/>
      <c r="H117" s="3938"/>
      <c r="I117" s="3938"/>
      <c r="J117" s="3960"/>
      <c r="K117" s="3955"/>
      <c r="L117" s="3923"/>
      <c r="M117" s="3923"/>
      <c r="N117" s="3963"/>
      <c r="O117" s="3904"/>
      <c r="P117" s="252"/>
      <c r="Q117" s="253"/>
      <c r="R117" s="253" t="s">
        <v>236</v>
      </c>
      <c r="S117" s="1741"/>
      <c r="T117" s="1741"/>
      <c r="U117" s="1741"/>
      <c r="V117" s="1741"/>
      <c r="W117" s="254"/>
      <c r="Y117" s="1183"/>
      <c r="Z117" s="1183"/>
      <c r="AA117" s="1183"/>
      <c r="AB117" s="1183"/>
      <c r="AC117" s="1183"/>
      <c r="AD117" s="1183"/>
      <c r="AE117" s="1183"/>
      <c r="AF117" s="1183"/>
      <c r="AG117" s="1183"/>
      <c r="AH117" s="1183"/>
      <c r="AI117" s="1183"/>
      <c r="AJ117" s="1183"/>
      <c r="AK117" s="1183"/>
      <c r="AL117" s="1748"/>
      <c r="AM117" s="1748"/>
      <c r="AN117" s="1748"/>
      <c r="AO117" s="1748"/>
      <c r="AP117" s="1748"/>
      <c r="AQ117" s="1748"/>
    </row>
    <row r="118" spans="1:43" ht="17.25" customHeight="1">
      <c r="A118" s="1735"/>
      <c r="B118" s="1748"/>
      <c r="C118" s="1737"/>
      <c r="D118" s="3938"/>
      <c r="E118" s="3941"/>
      <c r="F118" s="3925"/>
      <c r="G118" s="3942"/>
      <c r="H118" s="3938"/>
      <c r="I118" s="3938"/>
      <c r="J118" s="3960"/>
      <c r="K118" s="3955"/>
      <c r="L118" s="3900" t="s">
        <v>90</v>
      </c>
      <c r="M118" s="3900" t="s">
        <v>92</v>
      </c>
      <c r="N118" s="3962" t="str">
        <f>IF(Z118="","",INDEX(TERRITORY_MR_LIST,MATCH(Z118,TERRITORY_LIST_ID,0)))</f>
        <v>Территория 11</v>
      </c>
      <c r="O118" s="3952" t="s">
        <v>53</v>
      </c>
      <c r="P118" s="3900"/>
      <c r="Q118" s="3900" t="s">
        <v>184</v>
      </c>
      <c r="R118" s="3954" t="s">
        <v>276</v>
      </c>
      <c r="S118" s="3899" t="s">
        <v>6</v>
      </c>
      <c r="T118" s="1707"/>
      <c r="U118" s="1707" t="s">
        <v>184</v>
      </c>
      <c r="V118" s="3536" t="s">
        <v>15</v>
      </c>
      <c r="W118" s="1697"/>
      <c r="Y118" s="1191"/>
      <c r="Z118" s="1191" t="s">
        <v>147</v>
      </c>
      <c r="AA118" s="1191"/>
      <c r="AB118" s="1191"/>
      <c r="AC118" s="1866" t="s">
        <v>292</v>
      </c>
      <c r="AD118" s="1866" t="s">
        <v>293</v>
      </c>
      <c r="AE118" s="1191" t="s">
        <v>364</v>
      </c>
      <c r="AF118" s="1191" t="s">
        <v>365</v>
      </c>
      <c r="AG118" s="1191" t="s">
        <v>366</v>
      </c>
      <c r="AH118" s="1191" t="str">
        <f>IF($E$64=0,"",$E$64)</f>
        <v>Тарифы на теплоноситель, поставляемый теплоснабжающими организациями потребителям, другим теплоснабжающим организациям</v>
      </c>
      <c r="AI118" s="1191" t="str">
        <f>IF($G$64=0,"",$G$64)</f>
        <v>Производство. Теплоноситель; Передача. Теплоноситель; Сбыт. Теплоноситель</v>
      </c>
      <c r="AJ118" s="1191" t="str">
        <f>IF($J$64=0,"",$J$64)</f>
        <v>Тариф на теплоноситель, посталяемый потребителям</v>
      </c>
      <c r="AK118" s="1191" t="str">
        <f>IF($K$118="нет","без дифференциации",IF($N$118=0,"",$N$118))</f>
        <v>Территория 11</v>
      </c>
      <c r="AL118" s="1739" t="str">
        <f>IF($O$118="нет","без дифференциации",IF($R$118=0,"",$R$118))</f>
        <v>котельная д. Богородицкое</v>
      </c>
      <c r="AM118" s="1739" t="str">
        <f>IF($S$118="нет","без дифференциации",IF($V$118=0,"",$V$118))</f>
        <v>без дифференциации</v>
      </c>
      <c r="AN118" s="1191">
        <f>$I$64</f>
        <v>1</v>
      </c>
      <c r="AO118" s="1191" t="str">
        <f>$I$64&amp;"."&amp;$M$118</f>
        <v>1.17</v>
      </c>
      <c r="AP118" s="1191" t="str">
        <f>$I$64&amp;"."&amp;$M$118&amp;"."&amp;$Q$118</f>
        <v>1.17.1</v>
      </c>
      <c r="AQ118" s="1191" t="str">
        <f>$I$64&amp;"."&amp;$M$118&amp;"."&amp;$Q$118&amp;"."&amp;$U$118</f>
        <v>1.17.1.1</v>
      </c>
    </row>
    <row r="119" spans="1:43" ht="17.25" customHeight="1">
      <c r="A119" s="1735"/>
      <c r="B119" s="1748"/>
      <c r="C119" s="1740"/>
      <c r="D119" s="3938"/>
      <c r="E119" s="3941"/>
      <c r="F119" s="3925"/>
      <c r="G119" s="3942"/>
      <c r="H119" s="3938"/>
      <c r="I119" s="3938"/>
      <c r="J119" s="3960"/>
      <c r="K119" s="3955"/>
      <c r="L119" s="3900"/>
      <c r="M119" s="3900"/>
      <c r="N119" s="3962"/>
      <c r="O119" s="3953"/>
      <c r="P119" s="3900"/>
      <c r="Q119" s="3900"/>
      <c r="R119" s="3954"/>
      <c r="S119" s="3899"/>
      <c r="T119" s="252"/>
      <c r="U119" s="253"/>
      <c r="V119" s="253" t="s">
        <v>235</v>
      </c>
      <c r="W119" s="254"/>
      <c r="Y119" s="1183"/>
      <c r="Z119" s="1183"/>
      <c r="AA119" s="1183"/>
      <c r="AB119" s="1183"/>
      <c r="AC119" s="1183"/>
      <c r="AD119" s="1183"/>
      <c r="AE119" s="1183"/>
      <c r="AF119" s="1183"/>
      <c r="AG119" s="1183"/>
      <c r="AH119" s="1183"/>
      <c r="AI119" s="1183"/>
      <c r="AJ119" s="1183"/>
      <c r="AK119" s="1183"/>
      <c r="AL119" s="1748"/>
      <c r="AM119" s="1748"/>
      <c r="AN119" s="1748"/>
      <c r="AO119" s="1748"/>
      <c r="AP119" s="1748"/>
      <c r="AQ119" s="1748"/>
    </row>
    <row r="120" spans="1:43" ht="17.25" customHeight="1">
      <c r="A120" s="1735"/>
      <c r="B120" s="1748"/>
      <c r="C120" s="1737"/>
      <c r="D120" s="3938"/>
      <c r="E120" s="3941"/>
      <c r="F120" s="3925"/>
      <c r="G120" s="3942"/>
      <c r="H120" s="3938"/>
      <c r="I120" s="3938"/>
      <c r="J120" s="3960"/>
      <c r="K120" s="3955"/>
      <c r="L120" s="3964"/>
      <c r="M120" s="3964"/>
      <c r="N120" s="3965"/>
      <c r="O120" s="3953"/>
      <c r="P120" s="3900" t="s">
        <v>90</v>
      </c>
      <c r="Q120" s="3900" t="s">
        <v>89</v>
      </c>
      <c r="R120" s="3954" t="s">
        <v>280</v>
      </c>
      <c r="S120" s="3899" t="s">
        <v>6</v>
      </c>
      <c r="T120" s="1707"/>
      <c r="U120" s="1707" t="s">
        <v>184</v>
      </c>
      <c r="V120" s="3786" t="s">
        <v>15</v>
      </c>
      <c r="W120" s="1697"/>
      <c r="Y120" s="1191"/>
      <c r="Z120" s="1191"/>
      <c r="AA120" s="1191"/>
      <c r="AB120" s="1191"/>
      <c r="AC120" s="1866" t="s">
        <v>292</v>
      </c>
      <c r="AD120" s="1866" t="s">
        <v>293</v>
      </c>
      <c r="AE120" s="1866" t="s">
        <v>364</v>
      </c>
      <c r="AF120" s="1191" t="s">
        <v>367</v>
      </c>
      <c r="AG120" s="1191" t="s">
        <v>368</v>
      </c>
      <c r="AH120" s="1191" t="str">
        <f>IF($E$64=0,"",$E$64)</f>
        <v>Тарифы на теплоноситель, поставляемый теплоснабжающими организациями потребителям, другим теплоснабжающим организациям</v>
      </c>
      <c r="AI120" s="1191" t="str">
        <f>IF($G$64=0,"",$G$64)</f>
        <v>Производство. Теплоноситель; Передача. Теплоноситель; Сбыт. Теплоноситель</v>
      </c>
      <c r="AJ120" s="1191" t="str">
        <f>IF($J$64=0,"",$J$64)</f>
        <v>Тариф на теплоноситель, посталяемый потребителям</v>
      </c>
      <c r="AK120" s="1191" t="str">
        <f>IF($K$118="нет","без дифференциации",IF($N$118=0,"",$N$118))</f>
        <v>Территория 11</v>
      </c>
      <c r="AL120" s="1739" t="str">
        <f>IF($O$120="нет","без дифференциации",IF($R$120=0,"",$R$120))</f>
        <v xml:space="preserve">котельная  д. Сметанино
</v>
      </c>
      <c r="AM120" s="1739" t="str">
        <f>IF($S$120="нет","без дифференциации",IF($V$120=0,"",$V$120))</f>
        <v>без дифференциации</v>
      </c>
      <c r="AN120" s="1191">
        <f>$I$64</f>
        <v>1</v>
      </c>
      <c r="AO120" s="1191" t="str">
        <f>$I$64&amp;"."&amp;$M$118</f>
        <v>1.17</v>
      </c>
      <c r="AP120" s="1191" t="str">
        <f>$I$64&amp;"."&amp;$M$118&amp;"."&amp;$Q$120</f>
        <v>1.17.2</v>
      </c>
      <c r="AQ120" s="1191" t="str">
        <f>$I$64&amp;"."&amp;$M$118&amp;"."&amp;$Q$120&amp;"."&amp;$U$120</f>
        <v>1.17.2.1</v>
      </c>
    </row>
    <row r="121" spans="1:43" ht="17.25" customHeight="1">
      <c r="A121" s="1735"/>
      <c r="B121" s="1748"/>
      <c r="C121" s="1740"/>
      <c r="D121" s="3938"/>
      <c r="E121" s="3941"/>
      <c r="F121" s="3925"/>
      <c r="G121" s="3942"/>
      <c r="H121" s="3938"/>
      <c r="I121" s="3938"/>
      <c r="J121" s="3960"/>
      <c r="K121" s="3955"/>
      <c r="L121" s="3964"/>
      <c r="M121" s="3964"/>
      <c r="N121" s="3965"/>
      <c r="O121" s="3953"/>
      <c r="P121" s="3900"/>
      <c r="Q121" s="3900"/>
      <c r="R121" s="3954"/>
      <c r="S121" s="3899"/>
      <c r="T121" s="252"/>
      <c r="U121" s="253"/>
      <c r="V121" s="253" t="s">
        <v>235</v>
      </c>
      <c r="W121" s="254"/>
      <c r="Y121" s="1183"/>
      <c r="Z121" s="1183"/>
      <c r="AA121" s="1183"/>
      <c r="AB121" s="1183"/>
      <c r="AC121" s="1183"/>
      <c r="AD121" s="1183"/>
      <c r="AE121" s="1183"/>
      <c r="AF121" s="1183"/>
      <c r="AG121" s="1183"/>
      <c r="AH121" s="1183"/>
      <c r="AI121" s="1183"/>
      <c r="AJ121" s="1183"/>
      <c r="AK121" s="1183"/>
      <c r="AL121" s="1748"/>
      <c r="AM121" s="1748"/>
      <c r="AN121" s="1748"/>
      <c r="AO121" s="1748"/>
      <c r="AP121" s="1748"/>
      <c r="AQ121" s="1748"/>
    </row>
    <row r="122" spans="1:43" ht="17.25" customHeight="1">
      <c r="A122" s="1735"/>
      <c r="B122" s="1748"/>
      <c r="C122" s="1737"/>
      <c r="D122" s="3938"/>
      <c r="E122" s="3941"/>
      <c r="F122" s="3925"/>
      <c r="G122" s="3942"/>
      <c r="H122" s="3938"/>
      <c r="I122" s="3938"/>
      <c r="J122" s="3960"/>
      <c r="K122" s="3955"/>
      <c r="L122" s="3964"/>
      <c r="M122" s="3964"/>
      <c r="N122" s="3965"/>
      <c r="O122" s="3953"/>
      <c r="P122" s="3900" t="s">
        <v>90</v>
      </c>
      <c r="Q122" s="3900" t="s">
        <v>77</v>
      </c>
      <c r="R122" s="3954" t="s">
        <v>283</v>
      </c>
      <c r="S122" s="3899" t="s">
        <v>6</v>
      </c>
      <c r="T122" s="1707"/>
      <c r="U122" s="1707" t="s">
        <v>184</v>
      </c>
      <c r="V122" s="3786" t="s">
        <v>15</v>
      </c>
      <c r="W122" s="1697"/>
      <c r="Y122" s="1191"/>
      <c r="Z122" s="1191"/>
      <c r="AA122" s="1191"/>
      <c r="AB122" s="1191"/>
      <c r="AC122" s="1866" t="s">
        <v>292</v>
      </c>
      <c r="AD122" s="1866" t="s">
        <v>293</v>
      </c>
      <c r="AE122" s="1866" t="s">
        <v>364</v>
      </c>
      <c r="AF122" s="1191" t="s">
        <v>369</v>
      </c>
      <c r="AG122" s="1191" t="s">
        <v>370</v>
      </c>
      <c r="AH122" s="1191" t="str">
        <f>IF($E$64=0,"",$E$64)</f>
        <v>Тарифы на теплоноситель, поставляемый теплоснабжающими организациями потребителям, другим теплоснабжающим организациям</v>
      </c>
      <c r="AI122" s="1191" t="str">
        <f>IF($G$64=0,"",$G$64)</f>
        <v>Производство. Теплоноситель; Передача. Теплоноситель; Сбыт. Теплоноситель</v>
      </c>
      <c r="AJ122" s="1191" t="str">
        <f>IF($J$64=0,"",$J$64)</f>
        <v>Тариф на теплоноситель, посталяемый потребителям</v>
      </c>
      <c r="AK122" s="1191" t="str">
        <f>IF($K$118="нет","без дифференциации",IF($N$118=0,"",$N$118))</f>
        <v>Территория 11</v>
      </c>
      <c r="AL122" s="1739" t="str">
        <f>IF($O$122="нет","без дифференциации",IF($R$122=0,"",$R$122))</f>
        <v xml:space="preserve">котельная   с. Талашкино
</v>
      </c>
      <c r="AM122" s="1739" t="str">
        <f>IF($S$122="нет","без дифференциации",IF($V$122=0,"",$V$122))</f>
        <v>без дифференциации</v>
      </c>
      <c r="AN122" s="1191">
        <f>$I$64</f>
        <v>1</v>
      </c>
      <c r="AO122" s="1191" t="str">
        <f>$I$64&amp;"."&amp;$M$118</f>
        <v>1.17</v>
      </c>
      <c r="AP122" s="1191" t="str">
        <f>$I$64&amp;"."&amp;$M$118&amp;"."&amp;$Q$122</f>
        <v>1.17.3</v>
      </c>
      <c r="AQ122" s="1191" t="str">
        <f>$I$64&amp;"."&amp;$M$118&amp;"."&amp;$Q$122&amp;"."&amp;$U$122</f>
        <v>1.17.3.1</v>
      </c>
    </row>
    <row r="123" spans="1:43" ht="17.25" customHeight="1">
      <c r="A123" s="1735"/>
      <c r="B123" s="1748"/>
      <c r="C123" s="1740"/>
      <c r="D123" s="3938"/>
      <c r="E123" s="3941"/>
      <c r="F123" s="3925"/>
      <c r="G123" s="3942"/>
      <c r="H123" s="3938"/>
      <c r="I123" s="3938"/>
      <c r="J123" s="3960"/>
      <c r="K123" s="3955"/>
      <c r="L123" s="3964"/>
      <c r="M123" s="3964"/>
      <c r="N123" s="3965"/>
      <c r="O123" s="3953"/>
      <c r="P123" s="3900"/>
      <c r="Q123" s="3900"/>
      <c r="R123" s="3954"/>
      <c r="S123" s="3899"/>
      <c r="T123" s="252"/>
      <c r="U123" s="253"/>
      <c r="V123" s="253" t="s">
        <v>235</v>
      </c>
      <c r="W123" s="254"/>
      <c r="Y123" s="1183"/>
      <c r="Z123" s="1183"/>
      <c r="AA123" s="1183"/>
      <c r="AB123" s="1183"/>
      <c r="AC123" s="1183"/>
      <c r="AD123" s="1183"/>
      <c r="AE123" s="1183"/>
      <c r="AF123" s="1183"/>
      <c r="AG123" s="1183"/>
      <c r="AH123" s="1183"/>
      <c r="AI123" s="1183"/>
      <c r="AJ123" s="1183"/>
      <c r="AK123" s="1183"/>
      <c r="AL123" s="1748"/>
      <c r="AM123" s="1748"/>
      <c r="AN123" s="1748"/>
      <c r="AO123" s="1748"/>
      <c r="AP123" s="1748"/>
      <c r="AQ123" s="1748"/>
    </row>
    <row r="124" spans="1:43" ht="17.25" customHeight="1">
      <c r="A124" s="1735"/>
      <c r="B124" s="1748"/>
      <c r="C124" s="1740"/>
      <c r="D124" s="3938"/>
      <c r="E124" s="3941"/>
      <c r="F124" s="3925"/>
      <c r="G124" s="3942"/>
      <c r="H124" s="3938"/>
      <c r="I124" s="3938"/>
      <c r="J124" s="3960"/>
      <c r="K124" s="3955"/>
      <c r="L124" s="3923"/>
      <c r="M124" s="3923"/>
      <c r="N124" s="3963"/>
      <c r="O124" s="3904"/>
      <c r="P124" s="252"/>
      <c r="Q124" s="253"/>
      <c r="R124" s="253" t="s">
        <v>236</v>
      </c>
      <c r="S124" s="1741"/>
      <c r="T124" s="1741"/>
      <c r="U124" s="1741"/>
      <c r="V124" s="1741"/>
      <c r="W124" s="254"/>
      <c r="Y124" s="1183"/>
      <c r="Z124" s="1183"/>
      <c r="AA124" s="1183"/>
      <c r="AB124" s="1183"/>
      <c r="AC124" s="1183"/>
      <c r="AD124" s="1183"/>
      <c r="AE124" s="1183"/>
      <c r="AF124" s="1183"/>
      <c r="AG124" s="1183"/>
      <c r="AH124" s="1183"/>
      <c r="AI124" s="1183"/>
      <c r="AJ124" s="1183"/>
      <c r="AK124" s="1183"/>
      <c r="AL124" s="1748"/>
      <c r="AM124" s="1748"/>
      <c r="AN124" s="1748"/>
      <c r="AO124" s="1748"/>
      <c r="AP124" s="1748"/>
      <c r="AQ124" s="1748"/>
    </row>
    <row r="125" spans="1:43" ht="17.25" customHeight="1">
      <c r="A125" s="1735"/>
      <c r="B125" s="1748"/>
      <c r="C125" s="1737"/>
      <c r="D125" s="3938"/>
      <c r="E125" s="3941"/>
      <c r="F125" s="3925"/>
      <c r="G125" s="3942"/>
      <c r="H125" s="3938"/>
      <c r="I125" s="3938"/>
      <c r="J125" s="3960"/>
      <c r="K125" s="3955"/>
      <c r="L125" s="3900" t="s">
        <v>90</v>
      </c>
      <c r="M125" s="3900" t="s">
        <v>162</v>
      </c>
      <c r="N125" s="3962" t="str">
        <f>IF(Z125="","",INDEX(TERRITORY_MR_LIST,MATCH(Z125,TERRITORY_LIST_ID,0)))</f>
        <v>Территория 9</v>
      </c>
      <c r="O125" s="3952" t="s">
        <v>53</v>
      </c>
      <c r="P125" s="3900"/>
      <c r="Q125" s="3900" t="s">
        <v>184</v>
      </c>
      <c r="R125" s="3954" t="s">
        <v>371</v>
      </c>
      <c r="S125" s="3899" t="s">
        <v>6</v>
      </c>
      <c r="T125" s="1707"/>
      <c r="U125" s="1707" t="s">
        <v>184</v>
      </c>
      <c r="V125" s="3536" t="s">
        <v>15</v>
      </c>
      <c r="W125" s="1697"/>
      <c r="Y125" s="1191"/>
      <c r="Z125" s="1191" t="s">
        <v>137</v>
      </c>
      <c r="AA125" s="1191"/>
      <c r="AB125" s="1191"/>
      <c r="AC125" s="1866" t="s">
        <v>292</v>
      </c>
      <c r="AD125" s="1866" t="s">
        <v>293</v>
      </c>
      <c r="AE125" s="1191" t="s">
        <v>372</v>
      </c>
      <c r="AF125" s="1191" t="s">
        <v>373</v>
      </c>
      <c r="AG125" s="1191" t="s">
        <v>374</v>
      </c>
      <c r="AH125" s="1191" t="str">
        <f>IF($E$64=0,"",$E$64)</f>
        <v>Тарифы на теплоноситель, поставляемый теплоснабжающими организациями потребителям, другим теплоснабжающим организациям</v>
      </c>
      <c r="AI125" s="1191" t="str">
        <f>IF($G$64=0,"",$G$64)</f>
        <v>Производство. Теплоноситель; Передача. Теплоноситель; Сбыт. Теплоноситель</v>
      </c>
      <c r="AJ125" s="1191" t="str">
        <f>IF($J$64=0,"",$J$64)</f>
        <v>Тариф на теплоноситель, посталяемый потребителям</v>
      </c>
      <c r="AK125" s="1191" t="str">
        <f>IF($K$125="нет","без дифференциации",IF($N$125=0,"",$N$125))</f>
        <v>Территория 9</v>
      </c>
      <c r="AL125" s="1739" t="str">
        <f>IF($O$125="нет","без дифференциации",IF($R$125=0,"",$R$125))</f>
        <v>Ярцевский ТУ</v>
      </c>
      <c r="AM125" s="1739" t="str">
        <f>IF($S$125="нет","без дифференциации",IF($V$125=0,"",$V$125))</f>
        <v>без дифференциации</v>
      </c>
      <c r="AN125" s="1191">
        <f>$I$64</f>
        <v>1</v>
      </c>
      <c r="AO125" s="1191" t="str">
        <f>$I$64&amp;"."&amp;$M$125</f>
        <v>1.18</v>
      </c>
      <c r="AP125" s="1191" t="str">
        <f>$I$64&amp;"."&amp;$M$125&amp;"."&amp;$Q$125</f>
        <v>1.18.1</v>
      </c>
      <c r="AQ125" s="1191" t="str">
        <f>$I$64&amp;"."&amp;$M$125&amp;"."&amp;$Q$125&amp;"."&amp;$U$125</f>
        <v>1.18.1.1</v>
      </c>
    </row>
    <row r="126" spans="1:43" ht="17.25" customHeight="1">
      <c r="A126" s="1735"/>
      <c r="B126" s="1748"/>
      <c r="C126" s="1740"/>
      <c r="D126" s="3938"/>
      <c r="E126" s="3941"/>
      <c r="F126" s="3925"/>
      <c r="G126" s="3942"/>
      <c r="H126" s="3938"/>
      <c r="I126" s="3938"/>
      <c r="J126" s="3960"/>
      <c r="K126" s="3955"/>
      <c r="L126" s="3900"/>
      <c r="M126" s="3900"/>
      <c r="N126" s="3962"/>
      <c r="O126" s="3953"/>
      <c r="P126" s="3900"/>
      <c r="Q126" s="3900"/>
      <c r="R126" s="3954"/>
      <c r="S126" s="3899"/>
      <c r="T126" s="252"/>
      <c r="U126" s="253"/>
      <c r="V126" s="253" t="s">
        <v>235</v>
      </c>
      <c r="W126" s="254"/>
      <c r="Y126" s="1183"/>
      <c r="Z126" s="1183"/>
      <c r="AA126" s="1183"/>
      <c r="AB126" s="1183"/>
      <c r="AC126" s="1183"/>
      <c r="AD126" s="1183"/>
      <c r="AE126" s="1183"/>
      <c r="AF126" s="1183"/>
      <c r="AG126" s="1183"/>
      <c r="AH126" s="1183"/>
      <c r="AI126" s="1183"/>
      <c r="AJ126" s="1183"/>
      <c r="AK126" s="1183"/>
      <c r="AL126" s="1748"/>
      <c r="AM126" s="1748"/>
      <c r="AN126" s="1748"/>
      <c r="AO126" s="1748"/>
      <c r="AP126" s="1748"/>
      <c r="AQ126" s="1748"/>
    </row>
    <row r="127" spans="1:43" ht="17.25" customHeight="1">
      <c r="A127" s="1735"/>
      <c r="B127" s="1748"/>
      <c r="C127" s="1740"/>
      <c r="D127" s="3938"/>
      <c r="E127" s="3941"/>
      <c r="F127" s="3925"/>
      <c r="G127" s="3942"/>
      <c r="H127" s="3938"/>
      <c r="I127" s="3938"/>
      <c r="J127" s="3960"/>
      <c r="K127" s="3955"/>
      <c r="L127" s="3923"/>
      <c r="M127" s="3923"/>
      <c r="N127" s="3963"/>
      <c r="O127" s="3904"/>
      <c r="P127" s="252"/>
      <c r="Q127" s="253"/>
      <c r="R127" s="253" t="s">
        <v>236</v>
      </c>
      <c r="S127" s="1741"/>
      <c r="T127" s="1741"/>
      <c r="U127" s="1741"/>
      <c r="V127" s="1741"/>
      <c r="W127" s="254"/>
      <c r="Y127" s="1183"/>
      <c r="Z127" s="1183"/>
      <c r="AA127" s="1183"/>
      <c r="AB127" s="1183"/>
      <c r="AC127" s="1183"/>
      <c r="AD127" s="1183"/>
      <c r="AE127" s="1183"/>
      <c r="AF127" s="1183"/>
      <c r="AG127" s="1183"/>
      <c r="AH127" s="1183"/>
      <c r="AI127" s="1183"/>
      <c r="AJ127" s="1183"/>
      <c r="AK127" s="1183"/>
      <c r="AL127" s="1748"/>
      <c r="AM127" s="1748"/>
      <c r="AN127" s="1748"/>
      <c r="AO127" s="1748"/>
      <c r="AP127" s="1748"/>
      <c r="AQ127" s="1748"/>
    </row>
    <row r="128" spans="1:43" ht="17.25" customHeight="1">
      <c r="A128" s="1735"/>
      <c r="B128" s="1748"/>
      <c r="C128" s="1737"/>
      <c r="D128" s="3938"/>
      <c r="E128" s="3941"/>
      <c r="F128" s="3925"/>
      <c r="G128" s="3942"/>
      <c r="H128" s="3938"/>
      <c r="I128" s="3938"/>
      <c r="J128" s="3960"/>
      <c r="K128" s="3955"/>
      <c r="L128" s="3900" t="s">
        <v>90</v>
      </c>
      <c r="M128" s="3900" t="s">
        <v>164</v>
      </c>
      <c r="N128" s="3962" t="str">
        <f>IF(Z128="","",INDEX(TERRITORY_MR_LIST,MATCH(Z128,TERRITORY_LIST_ID,0)))</f>
        <v>Территория 10</v>
      </c>
      <c r="O128" s="3952" t="s">
        <v>53</v>
      </c>
      <c r="P128" s="3900"/>
      <c r="Q128" s="3900" t="s">
        <v>184</v>
      </c>
      <c r="R128" s="3954" t="s">
        <v>375</v>
      </c>
      <c r="S128" s="3899" t="s">
        <v>6</v>
      </c>
      <c r="T128" s="1707"/>
      <c r="U128" s="1707" t="s">
        <v>184</v>
      </c>
      <c r="V128" s="3536" t="s">
        <v>15</v>
      </c>
      <c r="W128" s="1697"/>
      <c r="Y128" s="1191"/>
      <c r="Z128" s="1191" t="s">
        <v>142</v>
      </c>
      <c r="AA128" s="1191"/>
      <c r="AB128" s="1191"/>
      <c r="AC128" s="1866" t="s">
        <v>292</v>
      </c>
      <c r="AD128" s="1866" t="s">
        <v>293</v>
      </c>
      <c r="AE128" s="1191" t="s">
        <v>376</v>
      </c>
      <c r="AF128" s="1191" t="s">
        <v>377</v>
      </c>
      <c r="AG128" s="1191" t="s">
        <v>378</v>
      </c>
      <c r="AH128" s="1191" t="str">
        <f>IF($E$64=0,"",$E$64)</f>
        <v>Тарифы на теплоноситель, поставляемый теплоснабжающими организациями потребителям, другим теплоснабжающим организациям</v>
      </c>
      <c r="AI128" s="1191" t="str">
        <f>IF($G$64=0,"",$G$64)</f>
        <v>Производство. Теплоноситель; Передача. Теплоноситель; Сбыт. Теплоноситель</v>
      </c>
      <c r="AJ128" s="1191" t="str">
        <f>IF($J$64=0,"",$J$64)</f>
        <v>Тариф на теплоноситель, посталяемый потребителям</v>
      </c>
      <c r="AK128" s="1191" t="str">
        <f>IF($K$128="нет","без дифференциации",IF($N$128=0,"",$N$128))</f>
        <v>Территория 10</v>
      </c>
      <c r="AL128" s="1739" t="str">
        <f>IF($O$128="нет","без дифференциации",IF($R$128=0,"",$R$128))</f>
        <v>Краснинский ТУ</v>
      </c>
      <c r="AM128" s="1739" t="str">
        <f>IF($S$128="нет","без дифференциации",IF($V$128=0,"",$V$128))</f>
        <v>без дифференциации</v>
      </c>
      <c r="AN128" s="1191">
        <f>$I$64</f>
        <v>1</v>
      </c>
      <c r="AO128" s="1191" t="str">
        <f>$I$64&amp;"."&amp;$M$128</f>
        <v>1.19</v>
      </c>
      <c r="AP128" s="1191" t="str">
        <f>$I$64&amp;"."&amp;$M$128&amp;"."&amp;$Q$128</f>
        <v>1.19.1</v>
      </c>
      <c r="AQ128" s="1191" t="str">
        <f>$I$64&amp;"."&amp;$M$128&amp;"."&amp;$Q$128&amp;"."&amp;$U$128</f>
        <v>1.19.1.1</v>
      </c>
    </row>
    <row r="129" spans="1:44" ht="17.25" customHeight="1">
      <c r="A129" s="1735"/>
      <c r="B129" s="1748"/>
      <c r="C129" s="1740"/>
      <c r="D129" s="3938"/>
      <c r="E129" s="3941"/>
      <c r="F129" s="3925"/>
      <c r="G129" s="3942"/>
      <c r="H129" s="3938"/>
      <c r="I129" s="3938"/>
      <c r="J129" s="3960"/>
      <c r="K129" s="3955"/>
      <c r="L129" s="3900"/>
      <c r="M129" s="3900"/>
      <c r="N129" s="3962"/>
      <c r="O129" s="3953"/>
      <c r="P129" s="3900"/>
      <c r="Q129" s="3900"/>
      <c r="R129" s="3954"/>
      <c r="S129" s="3899"/>
      <c r="T129" s="252"/>
      <c r="U129" s="253"/>
      <c r="V129" s="253" t="s">
        <v>235</v>
      </c>
      <c r="W129" s="254"/>
      <c r="Y129" s="1183"/>
      <c r="Z129" s="1183"/>
      <c r="AA129" s="1183"/>
      <c r="AB129" s="1183"/>
      <c r="AC129" s="1183"/>
      <c r="AD129" s="1183"/>
      <c r="AE129" s="1183"/>
      <c r="AF129" s="1183"/>
      <c r="AG129" s="1183"/>
      <c r="AH129" s="1183"/>
      <c r="AI129" s="1183"/>
      <c r="AJ129" s="1183"/>
      <c r="AK129" s="1183"/>
      <c r="AL129" s="1748"/>
      <c r="AM129" s="1748"/>
      <c r="AN129" s="1748"/>
      <c r="AO129" s="1748"/>
      <c r="AP129" s="1748"/>
      <c r="AQ129" s="1748"/>
    </row>
    <row r="130" spans="1:44" ht="17.25" customHeight="1">
      <c r="A130" s="1735"/>
      <c r="B130" s="1748"/>
      <c r="C130" s="1740"/>
      <c r="D130" s="3938"/>
      <c r="E130" s="3941"/>
      <c r="F130" s="3925"/>
      <c r="G130" s="3942"/>
      <c r="H130" s="3938"/>
      <c r="I130" s="3938"/>
      <c r="J130" s="3960"/>
      <c r="K130" s="3955"/>
      <c r="L130" s="3923"/>
      <c r="M130" s="3923"/>
      <c r="N130" s="3963"/>
      <c r="O130" s="3904"/>
      <c r="P130" s="252"/>
      <c r="Q130" s="253"/>
      <c r="R130" s="253" t="s">
        <v>236</v>
      </c>
      <c r="S130" s="1741"/>
      <c r="T130" s="1741"/>
      <c r="U130" s="1741"/>
      <c r="V130" s="1741"/>
      <c r="W130" s="254"/>
      <c r="Y130" s="1183"/>
      <c r="Z130" s="1183"/>
      <c r="AA130" s="1183"/>
      <c r="AB130" s="1183"/>
      <c r="AC130" s="1183"/>
      <c r="AD130" s="1183"/>
      <c r="AE130" s="1183"/>
      <c r="AF130" s="1183"/>
      <c r="AG130" s="1183"/>
      <c r="AH130" s="1183"/>
      <c r="AI130" s="1183"/>
      <c r="AJ130" s="1183"/>
      <c r="AK130" s="1183"/>
      <c r="AL130" s="1748"/>
      <c r="AM130" s="1748"/>
      <c r="AN130" s="1748"/>
      <c r="AO130" s="1748"/>
      <c r="AP130" s="1748"/>
      <c r="AQ130" s="1748"/>
    </row>
    <row r="131" spans="1:44" s="1748" customFormat="1" ht="17.25" customHeight="1">
      <c r="A131" s="256"/>
      <c r="C131" s="255"/>
      <c r="D131" s="3923"/>
      <c r="E131" s="3912"/>
      <c r="F131" s="3925"/>
      <c r="G131" s="3931"/>
      <c r="H131" s="3923"/>
      <c r="I131" s="3923"/>
      <c r="J131" s="3959"/>
      <c r="K131" s="3904"/>
      <c r="L131" s="2047"/>
      <c r="M131" s="2048"/>
      <c r="N131" s="2049" t="s">
        <v>286</v>
      </c>
      <c r="O131" s="2050"/>
      <c r="P131" s="2051"/>
      <c r="Q131" s="2052"/>
      <c r="R131" s="2053"/>
      <c r="S131" s="2054"/>
      <c r="T131" s="2055"/>
      <c r="U131" s="2056"/>
      <c r="V131" s="2057"/>
      <c r="W131" s="2058"/>
      <c r="X131" s="1183"/>
      <c r="Y131" s="1183"/>
      <c r="Z131" s="1183"/>
      <c r="AA131" s="1183"/>
      <c r="AB131" s="1183"/>
      <c r="AC131" s="1183"/>
      <c r="AD131" s="1183"/>
      <c r="AE131" s="1183"/>
      <c r="AF131" s="1183"/>
      <c r="AG131" s="1183"/>
      <c r="AH131" s="1183"/>
      <c r="AI131" s="1183"/>
      <c r="AJ131" s="1183"/>
      <c r="AK131" s="1183"/>
      <c r="AL131" s="1183"/>
      <c r="AM131" s="1183"/>
      <c r="AN131" s="1183"/>
      <c r="AO131" s="1183"/>
      <c r="AP131" s="1183"/>
      <c r="AQ131" s="1183"/>
      <c r="AR131" s="1207">
        <v>0</v>
      </c>
    </row>
    <row r="132" spans="1:44" s="1748" customFormat="1" ht="17.25" customHeight="1">
      <c r="A132" s="256"/>
      <c r="C132" s="255"/>
      <c r="D132" s="3923"/>
      <c r="E132" s="3912"/>
      <c r="F132" s="3926"/>
      <c r="G132" s="3931"/>
      <c r="H132" s="2059"/>
      <c r="I132" s="2060"/>
      <c r="J132" s="2061" t="s">
        <v>287</v>
      </c>
      <c r="K132" s="2062"/>
      <c r="L132" s="2063"/>
      <c r="M132" s="2064"/>
      <c r="N132" s="2065"/>
      <c r="O132" s="2066"/>
      <c r="P132" s="2067"/>
      <c r="Q132" s="2068"/>
      <c r="R132" s="2069"/>
      <c r="S132" s="2070"/>
      <c r="T132" s="2071"/>
      <c r="U132" s="2072"/>
      <c r="V132" s="2073"/>
      <c r="W132" s="2074"/>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207">
        <v>0</v>
      </c>
    </row>
    <row r="133" spans="1:44" s="1748" customFormat="1" ht="17.25" customHeight="1">
      <c r="A133" s="256"/>
      <c r="C133" s="144"/>
      <c r="D133" s="3922">
        <v>4</v>
      </c>
      <c r="E133" s="3911" t="s">
        <v>379</v>
      </c>
      <c r="F133" s="3924" t="s">
        <v>53</v>
      </c>
      <c r="G133" s="3930" t="str">
        <f>INDEX(VD_NAME_LIST,MATCH("4190064",VD_ID_LIST,0))&amp;";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H133" s="3961"/>
      <c r="I133" s="3961">
        <v>1</v>
      </c>
      <c r="J133" s="3958" t="s">
        <v>380</v>
      </c>
      <c r="K133" s="3952" t="s">
        <v>53</v>
      </c>
      <c r="L133" s="3900"/>
      <c r="M133" s="3900"/>
      <c r="N133" s="3962" t="str">
        <f>IF(Z133="","",INDEX(TERRITORY_MR_LIST,MATCH(Z133,TERRITORY_LIST_ID,0)))</f>
        <v>Территория 6</v>
      </c>
      <c r="O133" s="3952" t="s">
        <v>53</v>
      </c>
      <c r="P133" s="3900"/>
      <c r="Q133" s="3900" t="s">
        <v>184</v>
      </c>
      <c r="R133" s="3954" t="s">
        <v>381</v>
      </c>
      <c r="S133" s="3899" t="s">
        <v>6</v>
      </c>
      <c r="T133" s="1969"/>
      <c r="U133" s="1969" t="s">
        <v>184</v>
      </c>
      <c r="V133" s="1993" t="s">
        <v>15</v>
      </c>
      <c r="W133" s="1977"/>
      <c r="X133" s="1191"/>
      <c r="Y133" s="1191"/>
      <c r="Z133" s="1191" t="s">
        <v>129</v>
      </c>
      <c r="AA133" s="1191"/>
      <c r="AB133" s="1191" t="s">
        <v>382</v>
      </c>
      <c r="AC133" s="1191" t="s">
        <v>383</v>
      </c>
      <c r="AD133" s="1191" t="s">
        <v>384</v>
      </c>
      <c r="AE133" s="1191" t="s">
        <v>385</v>
      </c>
      <c r="AF133" s="1191" t="s">
        <v>386</v>
      </c>
      <c r="AG133" s="1191" t="s">
        <v>387</v>
      </c>
      <c r="AH133" s="1191" t="str">
        <f>IF($E$133=0,"",$E$133)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33" s="1191" t="str">
        <f>IF($G$133=0,"",$G$133)</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AJ133" s="1191" t="str">
        <f>IF($J$133=0,"",$J$133)</f>
        <v>Тариф на горячую воду с использованиемоткрытой системы горячего водоснабжения</v>
      </c>
      <c r="AK133" s="1191" t="str">
        <f>IF($K$133="нет","без дифференциации",IF($N$133=0,"",$N$133))</f>
        <v>Территория 6</v>
      </c>
      <c r="AL133" s="1191" t="str">
        <f>IF($O$133="нет","без дифференциации",IF($R$133=0,"",$R$133))</f>
        <v>котельная  №16 г. Сафоново, ул. Советская</v>
      </c>
      <c r="AM133" s="1191" t="str">
        <f>IF($S$133="нет","без дифференциации",IF($V$133=0,"",$V$133))</f>
        <v>без дифференциации</v>
      </c>
      <c r="AN133" s="1668">
        <f>$I$133</f>
        <v>1</v>
      </c>
      <c r="AO133" s="1191" t="str">
        <f>$I$133&amp;"."&amp;$M$133</f>
        <v>1.</v>
      </c>
      <c r="AP133" s="1183" t="str">
        <f>$I$133&amp;"."&amp;$M$133&amp;"."&amp;$Q$133</f>
        <v>1..1</v>
      </c>
      <c r="AQ133" s="1183" t="str">
        <f>$I$133&amp;"."&amp;$M$133&amp;"."&amp;$Q$133&amp;"."&amp;$U$133</f>
        <v>1..1.1</v>
      </c>
      <c r="AR133" s="1207">
        <v>0</v>
      </c>
    </row>
    <row r="134" spans="1:44" s="1748" customFormat="1" ht="17.25" customHeight="1">
      <c r="A134" s="256"/>
      <c r="C134" s="255"/>
      <c r="D134" s="3922"/>
      <c r="E134" s="3911"/>
      <c r="F134" s="3925"/>
      <c r="G134" s="3930"/>
      <c r="H134" s="3961"/>
      <c r="I134" s="3961"/>
      <c r="J134" s="3958"/>
      <c r="K134" s="3953"/>
      <c r="L134" s="3900"/>
      <c r="M134" s="3900"/>
      <c r="N134" s="3962"/>
      <c r="O134" s="3953"/>
      <c r="P134" s="3900"/>
      <c r="Q134" s="3900"/>
      <c r="R134" s="3954"/>
      <c r="S134" s="3899"/>
      <c r="T134" s="2075"/>
      <c r="U134" s="2076"/>
      <c r="V134" s="2077" t="s">
        <v>235</v>
      </c>
      <c r="W134" s="2078"/>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207">
        <v>0</v>
      </c>
    </row>
    <row r="135" spans="1:44" s="1748" customFormat="1" ht="17.25" customHeight="1">
      <c r="A135" s="256"/>
      <c r="C135" s="255"/>
      <c r="D135" s="3923"/>
      <c r="E135" s="3912"/>
      <c r="F135" s="3925"/>
      <c r="G135" s="3931"/>
      <c r="H135" s="3923"/>
      <c r="I135" s="3923"/>
      <c r="J135" s="3959"/>
      <c r="K135" s="3953"/>
      <c r="L135" s="3923"/>
      <c r="M135" s="3923"/>
      <c r="N135" s="3963"/>
      <c r="O135" s="3904"/>
      <c r="P135" s="2079"/>
      <c r="Q135" s="2080"/>
      <c r="R135" s="2081" t="s">
        <v>236</v>
      </c>
      <c r="S135" s="2082"/>
      <c r="T135" s="2083"/>
      <c r="U135" s="2084"/>
      <c r="V135" s="2085"/>
      <c r="W135" s="2086"/>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207">
        <v>0</v>
      </c>
    </row>
    <row r="136" spans="1:44" s="1748" customFormat="1" ht="17.25" customHeight="1">
      <c r="A136" s="256"/>
      <c r="C136" s="255"/>
      <c r="D136" s="3923"/>
      <c r="E136" s="3912"/>
      <c r="F136" s="3925"/>
      <c r="G136" s="3931"/>
      <c r="H136" s="3923"/>
      <c r="I136" s="3923"/>
      <c r="J136" s="3959"/>
      <c r="K136" s="3904"/>
      <c r="L136" s="2087"/>
      <c r="M136" s="2088"/>
      <c r="N136" s="2089" t="s">
        <v>286</v>
      </c>
      <c r="O136" s="2090"/>
      <c r="P136" s="2091"/>
      <c r="Q136" s="2092"/>
      <c r="R136" s="2093"/>
      <c r="S136" s="2094"/>
      <c r="T136" s="2095"/>
      <c r="U136" s="2096"/>
      <c r="V136" s="2097"/>
      <c r="W136" s="2098"/>
      <c r="X136" s="1183"/>
      <c r="Y136" s="1183"/>
      <c r="Z136" s="1183"/>
      <c r="AA136" s="1183"/>
      <c r="AB136" s="1183"/>
      <c r="AC136" s="1183"/>
      <c r="AD136" s="1183"/>
      <c r="AE136" s="1183"/>
      <c r="AF136" s="1183"/>
      <c r="AG136" s="1183"/>
      <c r="AH136" s="1183"/>
      <c r="AI136" s="1183"/>
      <c r="AJ136" s="1183"/>
      <c r="AK136" s="1183"/>
      <c r="AL136" s="1183"/>
      <c r="AM136" s="1183"/>
      <c r="AN136" s="1183"/>
      <c r="AO136" s="1183"/>
      <c r="AP136" s="1183"/>
      <c r="AQ136" s="1183"/>
      <c r="AR136" s="1207">
        <v>0</v>
      </c>
    </row>
    <row r="137" spans="1:44" s="1748" customFormat="1" ht="17.25" customHeight="1">
      <c r="A137" s="256"/>
      <c r="C137" s="255"/>
      <c r="D137" s="3923"/>
      <c r="E137" s="3912"/>
      <c r="F137" s="3926"/>
      <c r="G137" s="3931"/>
      <c r="H137" s="2099"/>
      <c r="I137" s="2100"/>
      <c r="J137" s="2101" t="s">
        <v>287</v>
      </c>
      <c r="K137" s="2102"/>
      <c r="L137" s="2103"/>
      <c r="M137" s="2104"/>
      <c r="N137" s="2105"/>
      <c r="O137" s="2106"/>
      <c r="P137" s="2107"/>
      <c r="Q137" s="2108"/>
      <c r="R137" s="2109"/>
      <c r="S137" s="2110"/>
      <c r="T137" s="2111"/>
      <c r="U137" s="2112"/>
      <c r="V137" s="2113"/>
      <c r="W137" s="2114"/>
      <c r="X137" s="1183"/>
      <c r="Y137" s="1183"/>
      <c r="Z137" s="1183"/>
      <c r="AA137" s="1183"/>
      <c r="AB137" s="1183"/>
      <c r="AC137" s="1183"/>
      <c r="AD137" s="1183"/>
      <c r="AE137" s="1183"/>
      <c r="AF137" s="1183"/>
      <c r="AG137" s="1183"/>
      <c r="AH137" s="1183"/>
      <c r="AI137" s="1183"/>
      <c r="AJ137" s="1183"/>
      <c r="AK137" s="1183"/>
      <c r="AL137" s="1183"/>
      <c r="AM137" s="1183"/>
      <c r="AN137" s="1183"/>
      <c r="AO137" s="1183"/>
      <c r="AP137" s="1183"/>
      <c r="AQ137" s="1183"/>
      <c r="AR137" s="1207">
        <v>0</v>
      </c>
    </row>
    <row r="138" spans="1:44" s="1748" customFormat="1" ht="17.25" customHeight="1">
      <c r="A138" s="256"/>
      <c r="C138" s="144"/>
      <c r="D138" s="3922">
        <v>5</v>
      </c>
      <c r="E138" s="3911" t="s">
        <v>388</v>
      </c>
      <c r="F138" s="3924" t="s">
        <v>6</v>
      </c>
      <c r="G138" s="3911"/>
      <c r="H138" s="3913"/>
      <c r="I138" s="3915"/>
      <c r="J138" s="3917"/>
      <c r="K138" s="3909"/>
      <c r="L138" s="3909"/>
      <c r="M138" s="3909"/>
      <c r="N138" s="3920"/>
      <c r="O138" s="3909"/>
      <c r="P138" s="3909"/>
      <c r="Q138" s="3909"/>
      <c r="R138" s="3907"/>
      <c r="S138" s="3909"/>
      <c r="T138" s="1344"/>
      <c r="U138" s="1344"/>
      <c r="V138" s="1343"/>
      <c r="W138" s="1220"/>
      <c r="X138" s="1191"/>
      <c r="Y138" s="1191"/>
      <c r="Z138" s="1191"/>
      <c r="AA138" s="1191"/>
      <c r="AB138" s="1191"/>
      <c r="AC138" s="1191" t="s">
        <v>389</v>
      </c>
      <c r="AD138" s="1191" t="s">
        <v>390</v>
      </c>
      <c r="AE138" s="1191" t="s">
        <v>391</v>
      </c>
      <c r="AF138" s="1191" t="s">
        <v>392</v>
      </c>
      <c r="AG138" s="1191" t="s">
        <v>393</v>
      </c>
      <c r="AH138" s="1191" t="str">
        <f>IF($E$138=0,"",$E$138)</f>
        <v>Тарифы на услуги по передаче тепловой энергии</v>
      </c>
      <c r="AI138" s="1191" t="str">
        <f>IF($G$138=0,"",$G$138)</f>
        <v/>
      </c>
      <c r="AJ138" s="1191" t="str">
        <f>IF($J$138=0,"",$J$138)</f>
        <v/>
      </c>
      <c r="AK138" s="1191" t="str">
        <f>IF($K$138="нет","без дифференциации",IF($N$138=0,"",$N$138))</f>
        <v/>
      </c>
      <c r="AL138" s="1191" t="str">
        <f>IF($O$138="нет","без дифференциации",IF($R$138=0,"",$R$138))</f>
        <v/>
      </c>
      <c r="AM138" s="1191" t="str">
        <f>IF($S$138="нет","без дифференциации",IF($V$138=0,"",$V$138))</f>
        <v/>
      </c>
      <c r="AN138" s="1668">
        <f>$I$138</f>
        <v>0</v>
      </c>
      <c r="AO138" s="1191" t="str">
        <f>$I$138&amp;"."&amp;$M$138</f>
        <v>.</v>
      </c>
      <c r="AP138" s="1183" t="str">
        <f>$I$138&amp;"."&amp;$M$138&amp;"."&amp;$Q$138</f>
        <v>..</v>
      </c>
      <c r="AQ138" s="1183" t="str">
        <f>$I$138&amp;"."&amp;$M$138&amp;"."&amp;$Q$138&amp;"."&amp;$U$138</f>
        <v>...</v>
      </c>
      <c r="AR138" s="1207">
        <v>0</v>
      </c>
    </row>
    <row r="139" spans="1:44" s="1748" customFormat="1" ht="17.25" customHeight="1">
      <c r="A139" s="256"/>
      <c r="C139" s="255"/>
      <c r="D139" s="3922"/>
      <c r="E139" s="3911"/>
      <c r="F139" s="3925"/>
      <c r="G139" s="3911"/>
      <c r="H139" s="3914"/>
      <c r="I139" s="3916"/>
      <c r="J139" s="3918"/>
      <c r="K139" s="3910"/>
      <c r="L139" s="3910"/>
      <c r="M139" s="3910"/>
      <c r="N139" s="3921"/>
      <c r="O139" s="3910"/>
      <c r="P139" s="3910"/>
      <c r="Q139" s="3910"/>
      <c r="R139" s="3908"/>
      <c r="S139" s="3910"/>
      <c r="T139" s="1221"/>
      <c r="U139" s="1221"/>
      <c r="V139" s="1221"/>
      <c r="W139" s="1222"/>
      <c r="X139" s="1183"/>
      <c r="Y139" s="1183"/>
      <c r="Z139" s="1183"/>
      <c r="AA139" s="1183"/>
      <c r="AB139" s="1183"/>
      <c r="AC139" s="1183"/>
      <c r="AD139" s="1183"/>
      <c r="AE139" s="1183"/>
      <c r="AF139" s="1183"/>
      <c r="AG139" s="1183"/>
      <c r="AH139" s="1183"/>
      <c r="AI139" s="1183"/>
      <c r="AJ139" s="1183"/>
      <c r="AK139" s="1183"/>
      <c r="AL139" s="1183"/>
      <c r="AM139" s="1183"/>
      <c r="AN139" s="1183"/>
      <c r="AO139" s="1183"/>
      <c r="AP139" s="1183"/>
      <c r="AQ139" s="1183"/>
      <c r="AR139" s="1207">
        <v>0</v>
      </c>
    </row>
    <row r="140" spans="1:44" s="1748" customFormat="1" ht="17.25" customHeight="1">
      <c r="A140" s="256"/>
      <c r="C140" s="255"/>
      <c r="D140" s="3923"/>
      <c r="E140" s="3912"/>
      <c r="F140" s="3925"/>
      <c r="G140" s="3912"/>
      <c r="H140" s="3914"/>
      <c r="I140" s="3916"/>
      <c r="J140" s="3919"/>
      <c r="K140" s="3910"/>
      <c r="L140" s="3910"/>
      <c r="M140" s="3910"/>
      <c r="N140" s="3908"/>
      <c r="O140" s="3910"/>
      <c r="P140" s="1342"/>
      <c r="Q140" s="1221"/>
      <c r="R140" s="1221"/>
      <c r="S140" s="264"/>
      <c r="T140" s="264"/>
      <c r="U140" s="264"/>
      <c r="V140" s="264"/>
      <c r="W140" s="1222"/>
      <c r="X140" s="1183"/>
      <c r="Y140" s="1183"/>
      <c r="Z140" s="1183"/>
      <c r="AA140" s="1183"/>
      <c r="AB140" s="1183"/>
      <c r="AC140" s="1183"/>
      <c r="AD140" s="1183"/>
      <c r="AE140" s="1183"/>
      <c r="AF140" s="1183"/>
      <c r="AG140" s="1183"/>
      <c r="AH140" s="1183"/>
      <c r="AI140" s="1183"/>
      <c r="AJ140" s="1183"/>
      <c r="AK140" s="1183"/>
      <c r="AL140" s="1183"/>
      <c r="AM140" s="1183"/>
      <c r="AN140" s="1183"/>
      <c r="AO140" s="1183"/>
      <c r="AP140" s="1183"/>
      <c r="AQ140" s="1183"/>
      <c r="AR140" s="1207">
        <v>0</v>
      </c>
    </row>
    <row r="141" spans="1:44" s="1748" customFormat="1" ht="17.25" customHeight="1">
      <c r="A141" s="256"/>
      <c r="C141" s="255"/>
      <c r="D141" s="3923"/>
      <c r="E141" s="3912"/>
      <c r="F141" s="3925"/>
      <c r="G141" s="3912"/>
      <c r="H141" s="3914"/>
      <c r="I141" s="3916"/>
      <c r="J141" s="3919"/>
      <c r="K141" s="3910"/>
      <c r="L141" s="1221"/>
      <c r="M141" s="1221"/>
      <c r="N141" s="1221"/>
      <c r="O141" s="1221"/>
      <c r="P141" s="1221"/>
      <c r="Q141" s="1221"/>
      <c r="R141" s="1221"/>
      <c r="S141" s="264"/>
      <c r="T141" s="264"/>
      <c r="U141" s="264"/>
      <c r="V141" s="264"/>
      <c r="W141" s="1222"/>
      <c r="X141" s="1183"/>
      <c r="Y141" s="1183"/>
      <c r="Z141" s="1183"/>
      <c r="AA141" s="1183"/>
      <c r="AB141" s="1183"/>
      <c r="AC141" s="1183"/>
      <c r="AD141" s="1183"/>
      <c r="AE141" s="1183"/>
      <c r="AF141" s="1183"/>
      <c r="AG141" s="1183"/>
      <c r="AH141" s="1183"/>
      <c r="AI141" s="1183"/>
      <c r="AJ141" s="1183"/>
      <c r="AK141" s="1183"/>
      <c r="AL141" s="1183"/>
      <c r="AM141" s="1183"/>
      <c r="AN141" s="1183"/>
      <c r="AO141" s="1183"/>
      <c r="AP141" s="1183"/>
      <c r="AQ141" s="1183"/>
      <c r="AR141" s="1207">
        <v>0</v>
      </c>
    </row>
    <row r="142" spans="1:44" s="1748" customFormat="1" ht="17.25" customHeight="1">
      <c r="A142" s="256"/>
      <c r="C142" s="255"/>
      <c r="D142" s="3923"/>
      <c r="E142" s="3912"/>
      <c r="F142" s="3926"/>
      <c r="G142" s="3912"/>
      <c r="H142" s="1223"/>
      <c r="I142" s="1224"/>
      <c r="J142" s="1224"/>
      <c r="K142" s="1224"/>
      <c r="L142" s="1224"/>
      <c r="M142" s="1224"/>
      <c r="N142" s="1224"/>
      <c r="O142" s="1224"/>
      <c r="P142" s="1224"/>
      <c r="Q142" s="1224"/>
      <c r="R142" s="1224"/>
      <c r="S142" s="1225"/>
      <c r="T142" s="1225"/>
      <c r="U142" s="1225"/>
      <c r="V142" s="1225"/>
      <c r="W142" s="1226"/>
      <c r="X142" s="1183"/>
      <c r="Y142" s="1183"/>
      <c r="Z142" s="1183"/>
      <c r="AA142" s="1183"/>
      <c r="AB142" s="1183"/>
      <c r="AC142" s="1183"/>
      <c r="AD142" s="1183"/>
      <c r="AE142" s="1183"/>
      <c r="AF142" s="1183"/>
      <c r="AG142" s="1183"/>
      <c r="AH142" s="1183"/>
      <c r="AI142" s="1183"/>
      <c r="AJ142" s="1183"/>
      <c r="AK142" s="1183"/>
      <c r="AL142" s="1183"/>
      <c r="AM142" s="1183"/>
      <c r="AN142" s="1183"/>
      <c r="AO142" s="1183"/>
      <c r="AP142" s="1183"/>
      <c r="AQ142" s="1183"/>
      <c r="AR142" s="1207">
        <v>0</v>
      </c>
    </row>
    <row r="143" spans="1:44" s="1748" customFormat="1" ht="17.25" customHeight="1">
      <c r="A143" s="256"/>
      <c r="C143" s="144"/>
      <c r="D143" s="3922">
        <v>6</v>
      </c>
      <c r="E143" s="3911" t="s">
        <v>394</v>
      </c>
      <c r="F143" s="3924" t="s">
        <v>6</v>
      </c>
      <c r="G143" s="3911"/>
      <c r="H143" s="3913"/>
      <c r="I143" s="3915"/>
      <c r="J143" s="3917"/>
      <c r="K143" s="3909"/>
      <c r="L143" s="3909"/>
      <c r="M143" s="3909"/>
      <c r="N143" s="3920"/>
      <c r="O143" s="3909"/>
      <c r="P143" s="3909"/>
      <c r="Q143" s="3909"/>
      <c r="R143" s="3907"/>
      <c r="S143" s="3909"/>
      <c r="T143" s="1344"/>
      <c r="U143" s="1344"/>
      <c r="V143" s="1343"/>
      <c r="W143" s="1220"/>
      <c r="X143" s="1191"/>
      <c r="Y143" s="1191"/>
      <c r="Z143" s="1191"/>
      <c r="AA143" s="1191"/>
      <c r="AB143" s="1191"/>
      <c r="AC143" s="1191" t="s">
        <v>395</v>
      </c>
      <c r="AD143" s="1191" t="s">
        <v>396</v>
      </c>
      <c r="AE143" s="1191" t="s">
        <v>397</v>
      </c>
      <c r="AF143" s="1191" t="s">
        <v>398</v>
      </c>
      <c r="AG143" s="1191" t="s">
        <v>399</v>
      </c>
      <c r="AH143" s="1191" t="str">
        <f>IF($E$143=0,"",$E$143)</f>
        <v>Тарифы на услуги по передаче теплоносителя</v>
      </c>
      <c r="AI143" s="1191" t="str">
        <f>IF($G$143=0,"",$G$143)</f>
        <v/>
      </c>
      <c r="AJ143" s="1191" t="str">
        <f>IF($J$143=0,"",$J$143)</f>
        <v/>
      </c>
      <c r="AK143" s="1191" t="str">
        <f>IF($K$143="нет","без дифференциации",IF($N$143=0,"",$N$143))</f>
        <v/>
      </c>
      <c r="AL143" s="1191" t="str">
        <f>IF($O$143="нет","без дифференциации",IF($R$143=0,"",$R$143))</f>
        <v/>
      </c>
      <c r="AM143" s="1191" t="str">
        <f>IF($S$143="нет","без дифференциации",IF($V$143=0,"",$V$143))</f>
        <v/>
      </c>
      <c r="AN143" s="1668">
        <f>$I$143</f>
        <v>0</v>
      </c>
      <c r="AO143" s="1191" t="str">
        <f>$I$143&amp;"."&amp;$M$143</f>
        <v>.</v>
      </c>
      <c r="AP143" s="1183" t="str">
        <f>$I$143&amp;"."&amp;$M$143&amp;"."&amp;$Q$143</f>
        <v>..</v>
      </c>
      <c r="AQ143" s="1183" t="str">
        <f>$I$143&amp;"."&amp;$M$143&amp;"."&amp;$Q$143&amp;"."&amp;$U$143</f>
        <v>...</v>
      </c>
      <c r="AR143" s="1207">
        <v>0</v>
      </c>
    </row>
    <row r="144" spans="1:44" s="1748" customFormat="1" ht="17.25" customHeight="1">
      <c r="A144" s="256"/>
      <c r="C144" s="255"/>
      <c r="D144" s="3922"/>
      <c r="E144" s="3911"/>
      <c r="F144" s="3925"/>
      <c r="G144" s="3911"/>
      <c r="H144" s="3914"/>
      <c r="I144" s="3916"/>
      <c r="J144" s="3918"/>
      <c r="K144" s="3910"/>
      <c r="L144" s="3910"/>
      <c r="M144" s="3910"/>
      <c r="N144" s="3921"/>
      <c r="O144" s="3910"/>
      <c r="P144" s="3910"/>
      <c r="Q144" s="3910"/>
      <c r="R144" s="3908"/>
      <c r="S144" s="3910"/>
      <c r="T144" s="1221"/>
      <c r="U144" s="1221"/>
      <c r="V144" s="1221"/>
      <c r="W144" s="1222"/>
      <c r="X144" s="1183"/>
      <c r="Y144" s="1183"/>
      <c r="Z144" s="1183"/>
      <c r="AA144" s="1183"/>
      <c r="AB144" s="1183"/>
      <c r="AC144" s="1183"/>
      <c r="AD144" s="1183"/>
      <c r="AE144" s="1183"/>
      <c r="AF144" s="1183"/>
      <c r="AG144" s="1183"/>
      <c r="AH144" s="1183"/>
      <c r="AI144" s="1183"/>
      <c r="AJ144" s="1183"/>
      <c r="AK144" s="1183"/>
      <c r="AL144" s="1183"/>
      <c r="AM144" s="1183"/>
      <c r="AN144" s="1183"/>
      <c r="AO144" s="1183"/>
      <c r="AP144" s="1183"/>
      <c r="AQ144" s="1183"/>
      <c r="AR144" s="1207">
        <v>0</v>
      </c>
    </row>
    <row r="145" spans="1:44" s="1748" customFormat="1" ht="17.25" customHeight="1">
      <c r="A145" s="256"/>
      <c r="C145" s="255"/>
      <c r="D145" s="3923"/>
      <c r="E145" s="3912"/>
      <c r="F145" s="3925"/>
      <c r="G145" s="3912"/>
      <c r="H145" s="3914"/>
      <c r="I145" s="3916"/>
      <c r="J145" s="3919"/>
      <c r="K145" s="3910"/>
      <c r="L145" s="3910"/>
      <c r="M145" s="3910"/>
      <c r="N145" s="3908"/>
      <c r="O145" s="3910"/>
      <c r="P145" s="1342"/>
      <c r="Q145" s="1221"/>
      <c r="R145" s="1221"/>
      <c r="S145" s="264"/>
      <c r="T145" s="264"/>
      <c r="U145" s="264"/>
      <c r="V145" s="264"/>
      <c r="W145" s="1222"/>
      <c r="X145" s="1183"/>
      <c r="Y145" s="1183"/>
      <c r="Z145" s="1183"/>
      <c r="AA145" s="1183"/>
      <c r="AB145" s="1183"/>
      <c r="AC145" s="1183"/>
      <c r="AD145" s="1183"/>
      <c r="AE145" s="1183"/>
      <c r="AF145" s="1183"/>
      <c r="AG145" s="1183"/>
      <c r="AH145" s="1183"/>
      <c r="AI145" s="1183"/>
      <c r="AJ145" s="1183"/>
      <c r="AK145" s="1183"/>
      <c r="AL145" s="1183"/>
      <c r="AM145" s="1183"/>
      <c r="AN145" s="1183"/>
      <c r="AO145" s="1183"/>
      <c r="AP145" s="1183"/>
      <c r="AQ145" s="1183"/>
      <c r="AR145" s="1207">
        <v>0</v>
      </c>
    </row>
    <row r="146" spans="1:44" s="1748" customFormat="1" ht="17.25" customHeight="1">
      <c r="A146" s="256"/>
      <c r="C146" s="144"/>
      <c r="D146" s="3923"/>
      <c r="E146" s="3912"/>
      <c r="F146" s="3925"/>
      <c r="G146" s="3912"/>
      <c r="H146" s="3914"/>
      <c r="I146" s="3916"/>
      <c r="J146" s="3919"/>
      <c r="K146" s="3910"/>
      <c r="L146" s="1221"/>
      <c r="M146" s="1221"/>
      <c r="N146" s="1221"/>
      <c r="O146" s="1221"/>
      <c r="P146" s="1221"/>
      <c r="Q146" s="1221"/>
      <c r="R146" s="1221"/>
      <c r="S146" s="264"/>
      <c r="T146" s="264"/>
      <c r="U146" s="264"/>
      <c r="V146" s="264"/>
      <c r="W146" s="1222"/>
      <c r="Y146" s="1191"/>
      <c r="Z146" s="1191"/>
      <c r="AA146" s="1191"/>
      <c r="AB146" s="1191"/>
      <c r="AC146" s="1191"/>
      <c r="AD146" s="1191"/>
      <c r="AE146" s="1191"/>
      <c r="AF146" s="1191"/>
      <c r="AG146" s="1191"/>
      <c r="AH146" s="1191"/>
      <c r="AI146" s="1191"/>
      <c r="AJ146" s="1191"/>
      <c r="AK146" s="1191"/>
      <c r="AL146" s="1191"/>
      <c r="AM146" s="1191"/>
      <c r="AN146" s="1191"/>
      <c r="AO146" s="1191"/>
      <c r="AP146" s="1191"/>
      <c r="AQ146" s="1191"/>
      <c r="AR146" s="1250">
        <v>0</v>
      </c>
    </row>
    <row r="147" spans="1:44" s="1748" customFormat="1" ht="17.25" customHeight="1">
      <c r="A147" s="256"/>
      <c r="C147" s="255"/>
      <c r="D147" s="3923"/>
      <c r="E147" s="3912"/>
      <c r="F147" s="3926"/>
      <c r="G147" s="3912"/>
      <c r="H147" s="1223"/>
      <c r="I147" s="1224"/>
      <c r="J147" s="1224"/>
      <c r="K147" s="1224"/>
      <c r="L147" s="1224"/>
      <c r="M147" s="1224"/>
      <c r="N147" s="1224"/>
      <c r="O147" s="1224"/>
      <c r="P147" s="1224"/>
      <c r="Q147" s="1224"/>
      <c r="R147" s="1224"/>
      <c r="S147" s="1225"/>
      <c r="T147" s="1225"/>
      <c r="U147" s="1225"/>
      <c r="V147" s="1225"/>
      <c r="W147" s="1226"/>
      <c r="X147" s="1183"/>
      <c r="Y147" s="1183"/>
      <c r="Z147" s="1183"/>
      <c r="AA147" s="1183"/>
      <c r="AB147" s="1183"/>
      <c r="AC147" s="1183"/>
      <c r="AD147" s="1183"/>
      <c r="AE147" s="1183"/>
      <c r="AF147" s="1183"/>
      <c r="AG147" s="1183"/>
      <c r="AH147" s="1183"/>
      <c r="AI147" s="1183"/>
      <c r="AJ147" s="1183"/>
      <c r="AK147" s="1183"/>
      <c r="AL147" s="1183"/>
      <c r="AM147" s="1183"/>
      <c r="AN147" s="1183"/>
      <c r="AO147" s="1183"/>
      <c r="AP147" s="1183"/>
      <c r="AQ147" s="1183"/>
      <c r="AR147" s="1207">
        <v>0</v>
      </c>
    </row>
    <row r="148" spans="1:44" s="1748" customFormat="1" ht="17.25" customHeight="1">
      <c r="A148" s="256"/>
      <c r="C148" s="144"/>
      <c r="D148" s="3932">
        <v>7</v>
      </c>
      <c r="E148" s="3935" t="s">
        <v>400</v>
      </c>
      <c r="F148" s="3924" t="s">
        <v>6</v>
      </c>
      <c r="G148" s="3935"/>
      <c r="H148" s="3913"/>
      <c r="I148" s="3915"/>
      <c r="J148" s="3917"/>
      <c r="K148" s="3909"/>
      <c r="L148" s="3909"/>
      <c r="M148" s="3909"/>
      <c r="N148" s="3920"/>
      <c r="O148" s="3909"/>
      <c r="P148" s="3909"/>
      <c r="Q148" s="3909"/>
      <c r="R148" s="3907"/>
      <c r="S148" s="3909"/>
      <c r="T148" s="1344"/>
      <c r="U148" s="1344"/>
      <c r="V148" s="1343"/>
      <c r="W148" s="1220"/>
      <c r="X148" s="1191"/>
      <c r="Y148" s="1191"/>
      <c r="Z148" s="1191"/>
      <c r="AA148" s="1191"/>
      <c r="AB148" s="1191"/>
      <c r="AC148" s="1191" t="s">
        <v>401</v>
      </c>
      <c r="AD148" s="1191" t="s">
        <v>402</v>
      </c>
      <c r="AE148" s="1191" t="s">
        <v>403</v>
      </c>
      <c r="AF148" s="1191" t="s">
        <v>404</v>
      </c>
      <c r="AG148" s="1191" t="s">
        <v>405</v>
      </c>
      <c r="AH148" s="1191" t="str">
        <f>IF($E$148=0,"",$E$148)</f>
        <v>Плата за услуги по поддержанию резервной тепловой мощности при отсутствии потребления тепловой энергии</v>
      </c>
      <c r="AI148" s="1191" t="str">
        <f>IF($G$148=0,"",$G$148)</f>
        <v/>
      </c>
      <c r="AJ148" s="1191" t="str">
        <f>IF($J$148=0,"",$J$148)</f>
        <v/>
      </c>
      <c r="AK148" s="1191" t="str">
        <f>IF($K$148="нет","без дифференциации",IF($N$148=0,"",$N$148))</f>
        <v/>
      </c>
      <c r="AL148" s="1191" t="str">
        <f>IF($O$148="нет","без дифференциации",IF($R$148=0,"",$R$148))</f>
        <v/>
      </c>
      <c r="AM148" s="1191" t="str">
        <f>IF($S$148="нет","без дифференциации",IF($V$148=0,"",$V$148))</f>
        <v/>
      </c>
      <c r="AN148" s="1668">
        <f>$I$148</f>
        <v>0</v>
      </c>
      <c r="AO148" s="1191" t="str">
        <f>$I$148&amp;"."&amp;$M$148</f>
        <v>.</v>
      </c>
      <c r="AP148" s="1183" t="str">
        <f>$I$148&amp;"."&amp;$M$148&amp;"."&amp;$Q$148</f>
        <v>..</v>
      </c>
      <c r="AQ148" s="1183" t="str">
        <f>$I$148&amp;"."&amp;$M$148&amp;"."&amp;$Q$148&amp;"."&amp;$U$148</f>
        <v>...</v>
      </c>
      <c r="AR148" s="1232">
        <v>0</v>
      </c>
    </row>
    <row r="149" spans="1:44" s="1748" customFormat="1" ht="17.25" customHeight="1">
      <c r="A149" s="256"/>
      <c r="C149" s="255"/>
      <c r="D149" s="3933"/>
      <c r="E149" s="3936"/>
      <c r="F149" s="3925"/>
      <c r="G149" s="3936"/>
      <c r="H149" s="3914"/>
      <c r="I149" s="3916"/>
      <c r="J149" s="3918"/>
      <c r="K149" s="3910"/>
      <c r="L149" s="3910"/>
      <c r="M149" s="3910"/>
      <c r="N149" s="3921"/>
      <c r="O149" s="3910"/>
      <c r="P149" s="3910"/>
      <c r="Q149" s="3910"/>
      <c r="R149" s="3908"/>
      <c r="S149" s="3910"/>
      <c r="T149" s="1221"/>
      <c r="U149" s="1221"/>
      <c r="V149" s="1221"/>
      <c r="W149" s="1222"/>
      <c r="X149" s="1183"/>
      <c r="Y149" s="1183"/>
      <c r="Z149" s="1183"/>
      <c r="AA149" s="1183"/>
      <c r="AB149" s="1183"/>
      <c r="AC149" s="1183"/>
      <c r="AD149" s="1183"/>
      <c r="AE149" s="1183"/>
      <c r="AF149" s="1183"/>
      <c r="AG149" s="1183"/>
      <c r="AH149" s="1183"/>
      <c r="AI149" s="1183"/>
      <c r="AJ149" s="1183"/>
      <c r="AK149" s="1183"/>
      <c r="AL149" s="1183"/>
      <c r="AM149" s="1183"/>
      <c r="AN149" s="1183"/>
      <c r="AO149" s="1183"/>
      <c r="AP149" s="1183"/>
      <c r="AQ149" s="1183"/>
      <c r="AR149" s="1232">
        <v>0</v>
      </c>
    </row>
    <row r="150" spans="1:44" s="1748" customFormat="1" ht="17.25" customHeight="1">
      <c r="A150" s="256"/>
      <c r="C150" s="255"/>
      <c r="D150" s="3933"/>
      <c r="E150" s="3936"/>
      <c r="F150" s="3925"/>
      <c r="G150" s="3936"/>
      <c r="H150" s="3914"/>
      <c r="I150" s="3916"/>
      <c r="J150" s="3919"/>
      <c r="K150" s="3910"/>
      <c r="L150" s="3910"/>
      <c r="M150" s="3910"/>
      <c r="N150" s="3908"/>
      <c r="O150" s="3910"/>
      <c r="P150" s="1342"/>
      <c r="Q150" s="1221"/>
      <c r="R150" s="1221"/>
      <c r="S150" s="264"/>
      <c r="T150" s="264"/>
      <c r="U150" s="264"/>
      <c r="V150" s="264"/>
      <c r="W150" s="1222"/>
      <c r="X150" s="1183"/>
      <c r="Y150" s="1183"/>
      <c r="Z150" s="1183"/>
      <c r="AA150" s="1183"/>
      <c r="AB150" s="1183"/>
      <c r="AC150" s="1183"/>
      <c r="AD150" s="1183"/>
      <c r="AE150" s="1183"/>
      <c r="AF150" s="1183"/>
      <c r="AG150" s="1183"/>
      <c r="AH150" s="1183"/>
      <c r="AI150" s="1183"/>
      <c r="AJ150" s="1183"/>
      <c r="AK150" s="1183"/>
      <c r="AL150" s="1183"/>
      <c r="AM150" s="1183"/>
      <c r="AN150" s="1183"/>
      <c r="AO150" s="1183"/>
      <c r="AP150" s="1183"/>
      <c r="AQ150" s="1183"/>
      <c r="AR150" s="1232">
        <v>0</v>
      </c>
    </row>
    <row r="151" spans="1:44" s="1748" customFormat="1" ht="17.25" customHeight="1">
      <c r="A151" s="256"/>
      <c r="C151" s="144"/>
      <c r="D151" s="3933"/>
      <c r="E151" s="3936"/>
      <c r="F151" s="3925"/>
      <c r="G151" s="3936"/>
      <c r="H151" s="3914"/>
      <c r="I151" s="3916"/>
      <c r="J151" s="3919"/>
      <c r="K151" s="3910"/>
      <c r="L151" s="1221"/>
      <c r="M151" s="1221"/>
      <c r="N151" s="1221"/>
      <c r="O151" s="1221"/>
      <c r="P151" s="1221"/>
      <c r="Q151" s="1221"/>
      <c r="R151" s="1221"/>
      <c r="S151" s="264"/>
      <c r="T151" s="264"/>
      <c r="U151" s="264"/>
      <c r="V151" s="264"/>
      <c r="W151" s="1222"/>
      <c r="Y151" s="1191"/>
      <c r="Z151" s="1191"/>
      <c r="AA151" s="1191"/>
      <c r="AB151" s="1191"/>
      <c r="AC151" s="1191"/>
      <c r="AD151" s="1191"/>
      <c r="AE151" s="1191"/>
      <c r="AF151" s="1191"/>
      <c r="AG151" s="1191"/>
      <c r="AH151" s="1191"/>
      <c r="AI151" s="1191"/>
      <c r="AJ151" s="1191"/>
      <c r="AK151" s="1191"/>
      <c r="AL151" s="1191"/>
      <c r="AM151" s="1191"/>
      <c r="AN151" s="1191"/>
      <c r="AO151" s="1191"/>
      <c r="AP151" s="1191"/>
      <c r="AQ151" s="1191"/>
      <c r="AR151" s="1250">
        <v>0</v>
      </c>
    </row>
    <row r="152" spans="1:44" s="1748" customFormat="1" ht="17.25" customHeight="1">
      <c r="A152" s="256"/>
      <c r="C152" s="255"/>
      <c r="D152" s="3934"/>
      <c r="E152" s="3937"/>
      <c r="F152" s="3926"/>
      <c r="G152" s="3937"/>
      <c r="H152" s="1223"/>
      <c r="I152" s="1224"/>
      <c r="J152" s="1224"/>
      <c r="K152" s="1224"/>
      <c r="L152" s="1224"/>
      <c r="M152" s="1224"/>
      <c r="N152" s="1224"/>
      <c r="O152" s="1224"/>
      <c r="P152" s="1224"/>
      <c r="Q152" s="1224"/>
      <c r="R152" s="1224"/>
      <c r="S152" s="1225"/>
      <c r="T152" s="1225"/>
      <c r="U152" s="1225"/>
      <c r="V152" s="1225"/>
      <c r="W152" s="1226"/>
      <c r="X152" s="1183"/>
      <c r="Y152" s="1183"/>
      <c r="Z152" s="1183"/>
      <c r="AA152" s="1183"/>
      <c r="AB152" s="1183"/>
      <c r="AC152" s="1183"/>
      <c r="AD152" s="1183"/>
      <c r="AE152" s="1183"/>
      <c r="AF152" s="1183"/>
      <c r="AG152" s="1183"/>
      <c r="AH152" s="1183"/>
      <c r="AI152" s="1183"/>
      <c r="AJ152" s="1183"/>
      <c r="AK152" s="1183"/>
      <c r="AL152" s="1183"/>
      <c r="AM152" s="1183"/>
      <c r="AN152" s="1183"/>
      <c r="AO152" s="1183"/>
      <c r="AP152" s="1183"/>
      <c r="AQ152" s="1183"/>
      <c r="AR152" s="1232">
        <v>0</v>
      </c>
    </row>
    <row r="153" spans="1:44" s="1748" customFormat="1" ht="17.25" customHeight="1">
      <c r="A153" s="256"/>
      <c r="C153" s="144"/>
      <c r="D153" s="3922">
        <v>8</v>
      </c>
      <c r="E153" s="3911" t="s">
        <v>406</v>
      </c>
      <c r="F153" s="3924" t="s">
        <v>6</v>
      </c>
      <c r="G153" s="3911"/>
      <c r="H153" s="3913"/>
      <c r="I153" s="3915"/>
      <c r="J153" s="3917"/>
      <c r="K153" s="3909"/>
      <c r="L153" s="3909"/>
      <c r="M153" s="3909"/>
      <c r="N153" s="3920"/>
      <c r="O153" s="3909"/>
      <c r="P153" s="3909"/>
      <c r="Q153" s="3909"/>
      <c r="R153" s="3907"/>
      <c r="S153" s="3909"/>
      <c r="T153" s="1394"/>
      <c r="U153" s="1394"/>
      <c r="V153" s="1396"/>
      <c r="W153" s="1220"/>
      <c r="X153" s="1191"/>
      <c r="Y153" s="1191"/>
      <c r="Z153" s="1191"/>
      <c r="AA153" s="1191"/>
      <c r="AB153" s="1191"/>
      <c r="AC153" s="1191" t="s">
        <v>407</v>
      </c>
      <c r="AD153" s="1191" t="s">
        <v>408</v>
      </c>
      <c r="AE153" s="1191" t="s">
        <v>409</v>
      </c>
      <c r="AF153" s="1191" t="s">
        <v>410</v>
      </c>
      <c r="AG153" s="1191" t="s">
        <v>411</v>
      </c>
      <c r="AH153" s="1191" t="str">
        <f>IF($E$153=0,"",$E$153)</f>
        <v>Плата за подключение (технологическое присоединение) к системе теплоснабжения</v>
      </c>
      <c r="AI153" s="1191" t="str">
        <f>IF($G$153=0,"",$G$153)</f>
        <v/>
      </c>
      <c r="AJ153" s="1191" t="str">
        <f>IF($J$153=0,"",$J$153)</f>
        <v/>
      </c>
      <c r="AK153" s="1191" t="str">
        <f>IF($K$153="нет","без дифференциации",IF($N$153=0,"",$N$153))</f>
        <v/>
      </c>
      <c r="AL153" s="1191" t="str">
        <f>IF($O$153="нет","без дифференциации",IF($R$153=0,"",$R$153))</f>
        <v/>
      </c>
      <c r="AM153" s="1191" t="str">
        <f>IF($S$153="нет","без дифференциации",IF($V$153=0,"",$V$153))</f>
        <v/>
      </c>
      <c r="AN153" s="1668">
        <f>$I$153</f>
        <v>0</v>
      </c>
      <c r="AO153" s="1191" t="str">
        <f>$I$153&amp;"."&amp;$M$153</f>
        <v>.</v>
      </c>
      <c r="AP153" s="1183" t="str">
        <f>$I$153&amp;"."&amp;$M$153&amp;"."&amp;$Q$153</f>
        <v>..</v>
      </c>
      <c r="AQ153" s="1183" t="str">
        <f>$I$153&amp;"."&amp;$M$153&amp;"."&amp;$Q$153&amp;"."&amp;$U$153</f>
        <v>...</v>
      </c>
      <c r="AR153" s="1232">
        <v>0</v>
      </c>
    </row>
    <row r="154" spans="1:44" s="1748" customFormat="1" ht="17.25" customHeight="1">
      <c r="A154" s="256"/>
      <c r="C154" s="255"/>
      <c r="D154" s="3922"/>
      <c r="E154" s="3911"/>
      <c r="F154" s="3925"/>
      <c r="G154" s="3911"/>
      <c r="H154" s="3914"/>
      <c r="I154" s="3916"/>
      <c r="J154" s="3918"/>
      <c r="K154" s="3910"/>
      <c r="L154" s="3910"/>
      <c r="M154" s="3910"/>
      <c r="N154" s="3921"/>
      <c r="O154" s="3910"/>
      <c r="P154" s="3910"/>
      <c r="Q154" s="3910"/>
      <c r="R154" s="3908"/>
      <c r="S154" s="3910"/>
      <c r="T154" s="1221"/>
      <c r="U154" s="1221"/>
      <c r="V154" s="1221"/>
      <c r="W154" s="1222"/>
      <c r="X154" s="1183"/>
      <c r="Y154" s="1183"/>
      <c r="Z154" s="1183"/>
      <c r="AA154" s="1183"/>
      <c r="AB154" s="1183"/>
      <c r="AC154" s="1183"/>
      <c r="AD154" s="1183"/>
      <c r="AE154" s="1183"/>
      <c r="AF154" s="1183"/>
      <c r="AG154" s="1183"/>
      <c r="AH154" s="1183"/>
      <c r="AI154" s="1183"/>
      <c r="AJ154" s="1183"/>
      <c r="AK154" s="1183"/>
      <c r="AL154" s="1183"/>
      <c r="AM154" s="1183"/>
      <c r="AN154" s="1183"/>
      <c r="AO154" s="1183"/>
      <c r="AP154" s="1183"/>
      <c r="AQ154" s="1183"/>
      <c r="AR154" s="1232">
        <v>0</v>
      </c>
    </row>
    <row r="155" spans="1:44" s="1748" customFormat="1" ht="17.25" customHeight="1">
      <c r="A155" s="256"/>
      <c r="C155" s="255"/>
      <c r="D155" s="3923"/>
      <c r="E155" s="3912"/>
      <c r="F155" s="3925"/>
      <c r="G155" s="3912"/>
      <c r="H155" s="3914"/>
      <c r="I155" s="3916"/>
      <c r="J155" s="3919"/>
      <c r="K155" s="3910"/>
      <c r="L155" s="3910"/>
      <c r="M155" s="3910"/>
      <c r="N155" s="3908"/>
      <c r="O155" s="3910"/>
      <c r="P155" s="1395"/>
      <c r="Q155" s="1221"/>
      <c r="R155" s="1221"/>
      <c r="S155" s="264"/>
      <c r="T155" s="264"/>
      <c r="U155" s="264"/>
      <c r="V155" s="264"/>
      <c r="W155" s="1222"/>
      <c r="X155" s="1183"/>
      <c r="Y155" s="1183"/>
      <c r="Z155" s="1183"/>
      <c r="AA155" s="1183"/>
      <c r="AB155" s="1183"/>
      <c r="AC155" s="1183"/>
      <c r="AD155" s="1183"/>
      <c r="AE155" s="1183"/>
      <c r="AF155" s="1183"/>
      <c r="AG155" s="1183"/>
      <c r="AH155" s="1183"/>
      <c r="AI155" s="1183"/>
      <c r="AJ155" s="1183"/>
      <c r="AK155" s="1183"/>
      <c r="AL155" s="1183"/>
      <c r="AM155" s="1183"/>
      <c r="AN155" s="1183"/>
      <c r="AO155" s="1183"/>
      <c r="AP155" s="1183"/>
      <c r="AQ155" s="1183"/>
      <c r="AR155" s="1232">
        <v>0</v>
      </c>
    </row>
    <row r="156" spans="1:44" s="1748" customFormat="1" ht="17.25" customHeight="1">
      <c r="A156" s="256"/>
      <c r="C156" s="144"/>
      <c r="D156" s="3923"/>
      <c r="E156" s="3912"/>
      <c r="F156" s="3925"/>
      <c r="G156" s="3912"/>
      <c r="H156" s="3914"/>
      <c r="I156" s="3916"/>
      <c r="J156" s="3919"/>
      <c r="K156" s="3910"/>
      <c r="L156" s="1221"/>
      <c r="M156" s="1221"/>
      <c r="N156" s="1221"/>
      <c r="O156" s="1221"/>
      <c r="P156" s="1221"/>
      <c r="Q156" s="1221"/>
      <c r="R156" s="1221"/>
      <c r="S156" s="264"/>
      <c r="T156" s="264"/>
      <c r="U156" s="264"/>
      <c r="V156" s="264"/>
      <c r="W156" s="1222"/>
      <c r="Y156" s="1191"/>
      <c r="Z156" s="1191"/>
      <c r="AA156" s="1191"/>
      <c r="AB156" s="1191"/>
      <c r="AC156" s="1191"/>
      <c r="AD156" s="1191"/>
      <c r="AE156" s="1191"/>
      <c r="AF156" s="1191"/>
      <c r="AG156" s="1191"/>
      <c r="AH156" s="1191"/>
      <c r="AI156" s="1191"/>
      <c r="AJ156" s="1191"/>
      <c r="AK156" s="1191"/>
      <c r="AL156" s="1191"/>
      <c r="AM156" s="1191"/>
      <c r="AN156" s="1191"/>
      <c r="AO156" s="1191"/>
      <c r="AP156" s="1191"/>
      <c r="AQ156" s="1191"/>
      <c r="AR156" s="1250">
        <v>0</v>
      </c>
    </row>
    <row r="157" spans="1:44" s="1748" customFormat="1" ht="17.25" customHeight="1">
      <c r="A157" s="256"/>
      <c r="C157" s="255"/>
      <c r="D157" s="3923"/>
      <c r="E157" s="3912"/>
      <c r="F157" s="3926"/>
      <c r="G157" s="3912"/>
      <c r="H157" s="1223"/>
      <c r="I157" s="1224"/>
      <c r="J157" s="1224"/>
      <c r="K157" s="1224"/>
      <c r="L157" s="1224"/>
      <c r="M157" s="1224"/>
      <c r="N157" s="1224"/>
      <c r="O157" s="1224"/>
      <c r="P157" s="1224"/>
      <c r="Q157" s="1224"/>
      <c r="R157" s="1224"/>
      <c r="S157" s="1225"/>
      <c r="T157" s="1225"/>
      <c r="U157" s="1225"/>
      <c r="V157" s="1225"/>
      <c r="W157" s="1226"/>
      <c r="X157" s="1183"/>
      <c r="Y157" s="1183"/>
      <c r="Z157" s="1183"/>
      <c r="AA157" s="1183"/>
      <c r="AB157" s="1183"/>
      <c r="AC157" s="1183"/>
      <c r="AD157" s="1183"/>
      <c r="AE157" s="1183"/>
      <c r="AF157" s="1183"/>
      <c r="AG157" s="1183"/>
      <c r="AH157" s="1183"/>
      <c r="AI157" s="1183"/>
      <c r="AJ157" s="1183"/>
      <c r="AK157" s="1183"/>
      <c r="AL157" s="1183"/>
      <c r="AM157" s="1183"/>
      <c r="AN157" s="1183"/>
      <c r="AO157" s="1183"/>
      <c r="AP157" s="1183"/>
      <c r="AQ157" s="1183"/>
      <c r="AR157" s="1232">
        <v>0</v>
      </c>
    </row>
    <row r="158" spans="1:44" s="1748" customFormat="1" ht="17.25" customHeight="1">
      <c r="A158" s="256"/>
      <c r="C158" s="144"/>
      <c r="D158" s="3922">
        <v>9</v>
      </c>
      <c r="E158" s="3911" t="s">
        <v>412</v>
      </c>
      <c r="F158" s="3924" t="s">
        <v>6</v>
      </c>
      <c r="G158" s="3911"/>
      <c r="H158" s="3913"/>
      <c r="I158" s="3915"/>
      <c r="J158" s="3917"/>
      <c r="K158" s="3909"/>
      <c r="L158" s="3909"/>
      <c r="M158" s="3909"/>
      <c r="N158" s="3920"/>
      <c r="O158" s="3909"/>
      <c r="P158" s="3909"/>
      <c r="Q158" s="3909"/>
      <c r="R158" s="3907"/>
      <c r="S158" s="3909"/>
      <c r="T158" s="1823"/>
      <c r="U158" s="1823"/>
      <c r="V158" s="1825"/>
      <c r="W158" s="1220"/>
      <c r="X158" s="1191"/>
      <c r="Y158" s="1191"/>
      <c r="Z158" s="1191"/>
      <c r="AA158" s="1191"/>
      <c r="AB158" s="1191"/>
      <c r="AC158" s="1191" t="s">
        <v>413</v>
      </c>
      <c r="AD158" s="1191" t="s">
        <v>414</v>
      </c>
      <c r="AE158" s="1191" t="s">
        <v>415</v>
      </c>
      <c r="AF158" s="1191" t="s">
        <v>416</v>
      </c>
      <c r="AG158" s="1191" t="s">
        <v>417</v>
      </c>
      <c r="AH158" s="1191" t="str">
        <f>IF($E$158=0,"",$E$158)</f>
        <v>Плата за подключение (технологическое присоединение) к системе теплоснабжения (индивидуальная)</v>
      </c>
      <c r="AI158" s="1191" t="str">
        <f>IF($G$158=0,"",$G$158)</f>
        <v/>
      </c>
      <c r="AJ158" s="1191" t="str">
        <f>IF($J$158=0,"",$J$158)</f>
        <v/>
      </c>
      <c r="AK158" s="1191" t="str">
        <f>IF($K$158="нет","без дифференциации",IF($N$158=0,"",$N$158))</f>
        <v/>
      </c>
      <c r="AL158" s="1191" t="str">
        <f>IF($O$158="нет","без дифференциации",IF($R$158=0,"",$R$158))</f>
        <v/>
      </c>
      <c r="AM158" s="1191" t="str">
        <f>IF($S$158="нет","без дифференциации",IF($V$158=0,"",$V$158))</f>
        <v/>
      </c>
      <c r="AN158" s="1668">
        <f>$I$158</f>
        <v>0</v>
      </c>
      <c r="AO158" s="1191" t="str">
        <f>$I$158&amp;"."&amp;$M$158</f>
        <v>.</v>
      </c>
      <c r="AP158" s="1190" t="str">
        <f>$I$158&amp;"."&amp;$M$158&amp;"."&amp;$Q$158</f>
        <v>..</v>
      </c>
      <c r="AQ158" s="1190" t="str">
        <f>$I$158&amp;"."&amp;$M$158&amp;"."&amp;$Q$158&amp;"."&amp;$U$158</f>
        <v>...</v>
      </c>
      <c r="AR158" s="1391">
        <v>0</v>
      </c>
    </row>
    <row r="159" spans="1:44" s="1748" customFormat="1" ht="17.25" customHeight="1">
      <c r="A159" s="256"/>
      <c r="C159" s="255"/>
      <c r="D159" s="3922"/>
      <c r="E159" s="3911"/>
      <c r="F159" s="3925"/>
      <c r="G159" s="3911"/>
      <c r="H159" s="3914"/>
      <c r="I159" s="3916"/>
      <c r="J159" s="3918"/>
      <c r="K159" s="3910"/>
      <c r="L159" s="3910"/>
      <c r="M159" s="3910"/>
      <c r="N159" s="3921"/>
      <c r="O159" s="3910"/>
      <c r="P159" s="3910"/>
      <c r="Q159" s="3910"/>
      <c r="R159" s="3908"/>
      <c r="S159" s="3910"/>
      <c r="T159" s="1826"/>
      <c r="U159" s="1826"/>
      <c r="V159" s="1826"/>
      <c r="W159" s="1827"/>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391">
        <v>0</v>
      </c>
    </row>
    <row r="160" spans="1:44" s="1748" customFormat="1" ht="17.25" customHeight="1">
      <c r="A160" s="256"/>
      <c r="C160" s="255"/>
      <c r="D160" s="3923"/>
      <c r="E160" s="3912"/>
      <c r="F160" s="3925"/>
      <c r="G160" s="3912"/>
      <c r="H160" s="3914"/>
      <c r="I160" s="3916"/>
      <c r="J160" s="3919"/>
      <c r="K160" s="3910"/>
      <c r="L160" s="3910"/>
      <c r="M160" s="3910"/>
      <c r="N160" s="3908"/>
      <c r="O160" s="3910"/>
      <c r="P160" s="1824"/>
      <c r="Q160" s="1826"/>
      <c r="R160" s="1826"/>
      <c r="S160" s="264"/>
      <c r="T160" s="264"/>
      <c r="U160" s="264"/>
      <c r="V160" s="264"/>
      <c r="W160" s="1827"/>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391">
        <v>0</v>
      </c>
    </row>
    <row r="161" spans="1:44" s="1748" customFormat="1" ht="17.25" customHeight="1">
      <c r="A161" s="256"/>
      <c r="C161" s="144"/>
      <c r="D161" s="3923"/>
      <c r="E161" s="3912"/>
      <c r="F161" s="3925"/>
      <c r="G161" s="3912"/>
      <c r="H161" s="3914"/>
      <c r="I161" s="3916"/>
      <c r="J161" s="3919"/>
      <c r="K161" s="3910"/>
      <c r="L161" s="1826"/>
      <c r="M161" s="1826"/>
      <c r="N161" s="1826"/>
      <c r="O161" s="1826"/>
      <c r="P161" s="1826"/>
      <c r="Q161" s="1826"/>
      <c r="R161" s="1826"/>
      <c r="S161" s="264"/>
      <c r="T161" s="264"/>
      <c r="U161" s="264"/>
      <c r="V161" s="264"/>
      <c r="W161" s="1827"/>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391">
        <v>0</v>
      </c>
    </row>
    <row r="162" spans="1:44" s="1748" customFormat="1" ht="17.25" customHeight="1">
      <c r="A162" s="256"/>
      <c r="C162" s="255"/>
      <c r="D162" s="3923"/>
      <c r="E162" s="3912"/>
      <c r="F162" s="3926"/>
      <c r="G162" s="3912"/>
      <c r="H162" s="1223"/>
      <c r="I162" s="1828"/>
      <c r="J162" s="1828"/>
      <c r="K162" s="1828"/>
      <c r="L162" s="1828"/>
      <c r="M162" s="1828"/>
      <c r="N162" s="1828"/>
      <c r="O162" s="1828"/>
      <c r="P162" s="1828"/>
      <c r="Q162" s="1828"/>
      <c r="R162" s="1828"/>
      <c r="S162" s="1225"/>
      <c r="T162" s="1225"/>
      <c r="U162" s="1225"/>
      <c r="V162" s="1225"/>
      <c r="W162" s="1829"/>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391">
        <v>0</v>
      </c>
    </row>
    <row r="163" spans="1:44" s="1748" customFormat="1" ht="17.25" hidden="1" customHeight="1">
      <c r="A163" s="256"/>
      <c r="C163" s="144"/>
      <c r="D163" s="3922">
        <v>10</v>
      </c>
      <c r="E163" s="3911" t="s">
        <v>418</v>
      </c>
      <c r="F163" s="3924" t="s">
        <v>6</v>
      </c>
      <c r="G163" s="3911"/>
      <c r="H163" s="3913"/>
      <c r="I163" s="3915"/>
      <c r="J163" s="3917"/>
      <c r="K163" s="3909"/>
      <c r="L163" s="3909"/>
      <c r="M163" s="3909"/>
      <c r="N163" s="3920"/>
      <c r="O163" s="3909"/>
      <c r="P163" s="3909"/>
      <c r="Q163" s="3909"/>
      <c r="R163" s="3907"/>
      <c r="S163" s="3909"/>
      <c r="T163" s="1823"/>
      <c r="U163" s="1823"/>
      <c r="V163" s="1825"/>
      <c r="W163" s="1220"/>
      <c r="X163" s="1191"/>
      <c r="Y163" s="1191"/>
      <c r="Z163" s="1191"/>
      <c r="AA163" s="1191"/>
      <c r="AB163" s="1191"/>
      <c r="AC163" s="1191" t="s">
        <v>419</v>
      </c>
      <c r="AD163" s="1191" t="s">
        <v>420</v>
      </c>
      <c r="AE163" s="1191" t="s">
        <v>421</v>
      </c>
      <c r="AF163" s="1191" t="s">
        <v>422</v>
      </c>
      <c r="AG163" s="1191" t="s">
        <v>423</v>
      </c>
      <c r="AH163" s="1191" t="str">
        <f>IF($E$163=0,"",$E$163)</f>
        <v>Предельный уровень цены на тепловую энергию (мощность), поставляемую теплоснабжающими организациями потребителям</v>
      </c>
      <c r="AI163" s="1191" t="str">
        <f>IF($G$163=0,"",$G$163)</f>
        <v/>
      </c>
      <c r="AJ163" s="1191" t="str">
        <f>IF($J$163=0,"",$J$163)</f>
        <v/>
      </c>
      <c r="AK163" s="1191" t="str">
        <f>IF($K$163="нет","без дифференциации",IF($N$163=0,"",$N$163))</f>
        <v/>
      </c>
      <c r="AL163" s="1191" t="str">
        <f>IF($O$163="нет","без дифференциации",IF($R$163=0,"",$R$163))</f>
        <v/>
      </c>
      <c r="AM163" s="1191" t="str">
        <f>IF($S$163="нет","без дифференциации",IF($V$163=0,"",$V$163))</f>
        <v/>
      </c>
      <c r="AN163" s="1668">
        <f>$I$163</f>
        <v>0</v>
      </c>
      <c r="AO163" s="1191" t="str">
        <f>$I$163&amp;"."&amp;$M$163</f>
        <v>.</v>
      </c>
      <c r="AP163" s="1190" t="str">
        <f>$I$163&amp;"."&amp;$M$163&amp;"."&amp;$Q$163</f>
        <v>..</v>
      </c>
      <c r="AQ163" s="1190" t="str">
        <f>$I$163&amp;"."&amp;$M$163&amp;"."&amp;$Q$163&amp;"."&amp;$U$163</f>
        <v>...</v>
      </c>
      <c r="AR163" s="1391">
        <v>0</v>
      </c>
    </row>
    <row r="164" spans="1:44" s="1748" customFormat="1" ht="17.25" hidden="1" customHeight="1">
      <c r="A164" s="256"/>
      <c r="C164" s="255"/>
      <c r="D164" s="3922"/>
      <c r="E164" s="3911"/>
      <c r="F164" s="3925"/>
      <c r="G164" s="3911"/>
      <c r="H164" s="3914"/>
      <c r="I164" s="3916"/>
      <c r="J164" s="3918"/>
      <c r="K164" s="3910"/>
      <c r="L164" s="3910"/>
      <c r="M164" s="3910"/>
      <c r="N164" s="3921"/>
      <c r="O164" s="3910"/>
      <c r="P164" s="3910"/>
      <c r="Q164" s="3910"/>
      <c r="R164" s="3908"/>
      <c r="S164" s="3910"/>
      <c r="T164" s="1826"/>
      <c r="U164" s="1826"/>
      <c r="V164" s="1826"/>
      <c r="W164" s="1827"/>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391">
        <v>0</v>
      </c>
    </row>
    <row r="165" spans="1:44" s="1748" customFormat="1" ht="17.25" hidden="1" customHeight="1">
      <c r="A165" s="256"/>
      <c r="C165" s="255"/>
      <c r="D165" s="3923"/>
      <c r="E165" s="3912"/>
      <c r="F165" s="3925"/>
      <c r="G165" s="3912"/>
      <c r="H165" s="3914"/>
      <c r="I165" s="3916"/>
      <c r="J165" s="3919"/>
      <c r="K165" s="3910"/>
      <c r="L165" s="3910"/>
      <c r="M165" s="3910"/>
      <c r="N165" s="3908"/>
      <c r="O165" s="3910"/>
      <c r="P165" s="1824"/>
      <c r="Q165" s="1826"/>
      <c r="R165" s="1826"/>
      <c r="S165" s="264"/>
      <c r="T165" s="264"/>
      <c r="U165" s="264"/>
      <c r="V165" s="264"/>
      <c r="W165" s="1827"/>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391">
        <v>0</v>
      </c>
    </row>
    <row r="166" spans="1:44" s="1748" customFormat="1" ht="17.25" hidden="1" customHeight="1">
      <c r="A166" s="256"/>
      <c r="C166" s="144"/>
      <c r="D166" s="3923"/>
      <c r="E166" s="3912"/>
      <c r="F166" s="3925"/>
      <c r="G166" s="3912"/>
      <c r="H166" s="3914"/>
      <c r="I166" s="3916"/>
      <c r="J166" s="3919"/>
      <c r="K166" s="3910"/>
      <c r="L166" s="1826"/>
      <c r="M166" s="1826"/>
      <c r="N166" s="1826"/>
      <c r="O166" s="1826"/>
      <c r="P166" s="1826"/>
      <c r="Q166" s="1826"/>
      <c r="R166" s="1826"/>
      <c r="S166" s="264"/>
      <c r="T166" s="264"/>
      <c r="U166" s="264"/>
      <c r="V166" s="264"/>
      <c r="W166" s="1827"/>
      <c r="Y166" s="1191"/>
      <c r="Z166" s="1191"/>
      <c r="AA166" s="1191"/>
      <c r="AB166" s="1191"/>
      <c r="AC166" s="1191"/>
      <c r="AD166" s="1191"/>
      <c r="AE166" s="1191"/>
      <c r="AF166" s="1191"/>
      <c r="AG166" s="1191"/>
      <c r="AH166" s="1191"/>
      <c r="AI166" s="1191"/>
      <c r="AJ166" s="1191"/>
      <c r="AK166" s="1191"/>
      <c r="AL166" s="1191"/>
      <c r="AM166" s="1191"/>
      <c r="AN166" s="1191"/>
      <c r="AO166" s="1191"/>
      <c r="AP166" s="1191"/>
      <c r="AQ166" s="1191"/>
      <c r="AR166" s="1391">
        <v>0</v>
      </c>
    </row>
    <row r="167" spans="1:44" s="1748" customFormat="1" ht="17.25" hidden="1" customHeight="1">
      <c r="A167" s="256"/>
      <c r="C167" s="255"/>
      <c r="D167" s="3923"/>
      <c r="E167" s="3912"/>
      <c r="F167" s="3926"/>
      <c r="G167" s="3912"/>
      <c r="H167" s="1223"/>
      <c r="I167" s="1828"/>
      <c r="J167" s="1828"/>
      <c r="K167" s="1828"/>
      <c r="L167" s="1828"/>
      <c r="M167" s="1828"/>
      <c r="N167" s="1828"/>
      <c r="O167" s="1828"/>
      <c r="P167" s="1828"/>
      <c r="Q167" s="1828"/>
      <c r="R167" s="1828"/>
      <c r="S167" s="1225"/>
      <c r="T167" s="1225"/>
      <c r="U167" s="1225"/>
      <c r="V167" s="1225"/>
      <c r="W167" s="1829"/>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391">
        <v>0</v>
      </c>
    </row>
    <row r="168" spans="1:44" ht="11.25" customHeight="1">
      <c r="AR168" s="43">
        <v>0</v>
      </c>
    </row>
    <row r="169" spans="1:44" ht="11.25" customHeight="1">
      <c r="E169" s="3929" t="s">
        <v>424</v>
      </c>
      <c r="F169" s="3929"/>
      <c r="G169" s="3929"/>
      <c r="H169" s="3929"/>
      <c r="I169" s="3929"/>
      <c r="J169" s="3929"/>
      <c r="K169" s="3929"/>
      <c r="L169" s="3929"/>
      <c r="M169" s="3929"/>
      <c r="N169" s="3929"/>
      <c r="O169" s="3929"/>
      <c r="P169" s="3929"/>
      <c r="Q169" s="3929"/>
      <c r="R169" s="3929"/>
      <c r="S169" s="3929"/>
      <c r="T169" s="3929"/>
      <c r="U169" s="3929"/>
      <c r="V169" s="3929"/>
      <c r="W169" s="3929"/>
      <c r="AR169" s="43">
        <v>0</v>
      </c>
    </row>
    <row r="170" spans="1:44" ht="36.75" customHeight="1">
      <c r="E170" s="3927" t="s">
        <v>425</v>
      </c>
      <c r="F170" s="3927"/>
      <c r="G170" s="3928"/>
      <c r="H170" s="3928"/>
      <c r="I170" s="3928"/>
      <c r="J170" s="3928"/>
      <c r="K170" s="3928"/>
      <c r="L170" s="3928"/>
      <c r="M170" s="3928"/>
      <c r="N170" s="3928"/>
      <c r="O170" s="3928"/>
      <c r="P170" s="3928"/>
      <c r="Q170" s="3928"/>
      <c r="R170" s="3928"/>
      <c r="S170" s="3928"/>
      <c r="T170" s="3928"/>
      <c r="U170" s="3928"/>
      <c r="V170" s="3928"/>
      <c r="W170" s="3928"/>
      <c r="AR170" s="43">
        <v>0</v>
      </c>
    </row>
    <row r="171" spans="1:44" ht="28.5" customHeight="1">
      <c r="E171" s="3927" t="s">
        <v>426</v>
      </c>
      <c r="F171" s="3927"/>
      <c r="G171" s="3928"/>
      <c r="H171" s="3928"/>
      <c r="I171" s="3928"/>
      <c r="J171" s="3928"/>
      <c r="K171" s="3928"/>
      <c r="L171" s="3928"/>
      <c r="M171" s="3928"/>
      <c r="N171" s="3928"/>
      <c r="O171" s="3928"/>
      <c r="P171" s="3928"/>
      <c r="Q171" s="3928"/>
      <c r="R171" s="3928"/>
      <c r="S171" s="3928"/>
      <c r="T171" s="3928"/>
      <c r="U171" s="3928"/>
      <c r="V171" s="3928"/>
      <c r="W171" s="3928"/>
      <c r="AR171" s="43">
        <v>0</v>
      </c>
    </row>
    <row r="172" spans="1:44" ht="27" customHeight="1">
      <c r="E172" s="3927" t="s">
        <v>427</v>
      </c>
      <c r="F172" s="3927"/>
      <c r="G172" s="3928"/>
      <c r="H172" s="3928"/>
      <c r="I172" s="3928"/>
      <c r="J172" s="3928"/>
      <c r="K172" s="3928"/>
      <c r="L172" s="3928"/>
      <c r="M172" s="3928"/>
      <c r="N172" s="3928"/>
      <c r="O172" s="3928"/>
      <c r="P172" s="3928"/>
      <c r="Q172" s="3928"/>
      <c r="R172" s="3928"/>
      <c r="S172" s="3928"/>
      <c r="T172" s="3928"/>
      <c r="U172" s="3928"/>
      <c r="V172" s="3928"/>
      <c r="W172" s="3928"/>
      <c r="AR172" s="43">
        <v>0</v>
      </c>
    </row>
    <row r="173" spans="1:44" ht="17.25" customHeight="1">
      <c r="E173" s="3927" t="s">
        <v>428</v>
      </c>
      <c r="F173" s="3927"/>
      <c r="G173" s="3928"/>
      <c r="H173" s="3928"/>
      <c r="I173" s="3928"/>
      <c r="J173" s="3928"/>
      <c r="K173" s="3928"/>
      <c r="L173" s="3928"/>
      <c r="M173" s="3928"/>
      <c r="N173" s="3928"/>
      <c r="O173" s="3928"/>
      <c r="P173" s="3928"/>
      <c r="Q173" s="3928"/>
      <c r="R173" s="3928"/>
      <c r="S173" s="3928"/>
      <c r="T173" s="3928"/>
      <c r="U173" s="3928"/>
      <c r="V173" s="3928"/>
      <c r="W173" s="3928"/>
      <c r="AR173" s="43">
        <v>0</v>
      </c>
    </row>
    <row r="174" spans="1:44" ht="15" customHeight="1">
      <c r="E174" s="275"/>
      <c r="F174" s="1209"/>
      <c r="G174" s="92"/>
      <c r="H174" s="92"/>
      <c r="I174" s="92"/>
      <c r="J174" s="92"/>
      <c r="K174" s="92"/>
      <c r="L174" s="92"/>
      <c r="M174" s="92"/>
      <c r="N174" s="92"/>
      <c r="O174" s="92"/>
      <c r="P174" s="92"/>
      <c r="Q174" s="92"/>
      <c r="R174" s="92"/>
      <c r="S174" s="92"/>
      <c r="T174" s="92"/>
      <c r="U174" s="92"/>
      <c r="V174" s="92"/>
      <c r="W174" s="92"/>
      <c r="AR174" s="43">
        <v>0</v>
      </c>
    </row>
    <row r="175" spans="1:44" ht="15" customHeight="1">
      <c r="E175" s="3929" t="s">
        <v>429</v>
      </c>
      <c r="F175" s="3929"/>
      <c r="G175" s="3929"/>
      <c r="H175" s="3929"/>
      <c r="I175" s="3929"/>
      <c r="J175" s="3929"/>
      <c r="K175" s="3929"/>
      <c r="L175" s="3929"/>
      <c r="M175" s="3929"/>
      <c r="N175" s="3929"/>
      <c r="O175" s="3929"/>
      <c r="P175" s="3929"/>
      <c r="Q175" s="3929"/>
      <c r="R175" s="3929"/>
      <c r="S175" s="3929"/>
      <c r="T175" s="3929"/>
      <c r="U175" s="3929"/>
      <c r="V175" s="3929"/>
      <c r="W175" s="3929"/>
      <c r="AR175" s="43">
        <v>0</v>
      </c>
    </row>
    <row r="176" spans="1:44" ht="17.25" customHeight="1">
      <c r="E176" s="3927" t="s">
        <v>430</v>
      </c>
      <c r="F176" s="3927"/>
      <c r="G176" s="3928"/>
      <c r="H176" s="3928"/>
      <c r="I176" s="3928"/>
      <c r="J176" s="3928"/>
      <c r="K176" s="3928"/>
      <c r="L176" s="3928"/>
      <c r="M176" s="3928"/>
      <c r="N176" s="3928"/>
      <c r="O176" s="3928"/>
      <c r="P176" s="3928"/>
      <c r="Q176" s="3928"/>
      <c r="R176" s="3928"/>
      <c r="S176" s="3928"/>
      <c r="T176" s="3928"/>
      <c r="U176" s="3928"/>
      <c r="V176" s="3928"/>
      <c r="W176" s="3928"/>
      <c r="AR176" s="43">
        <v>0</v>
      </c>
    </row>
    <row r="177" spans="1:44" ht="17.25" customHeight="1">
      <c r="E177" s="3927" t="s">
        <v>431</v>
      </c>
      <c r="F177" s="3927"/>
      <c r="G177" s="3928"/>
      <c r="H177" s="3928"/>
      <c r="I177" s="3928"/>
      <c r="J177" s="3928"/>
      <c r="K177" s="3928"/>
      <c r="L177" s="3928"/>
      <c r="M177" s="3928"/>
      <c r="N177" s="3928"/>
      <c r="O177" s="3928"/>
      <c r="P177" s="3928"/>
      <c r="Q177" s="3928"/>
      <c r="R177" s="3928"/>
      <c r="S177" s="3928"/>
      <c r="T177" s="3928"/>
      <c r="U177" s="3928"/>
      <c r="V177" s="3928"/>
      <c r="W177" s="3928"/>
      <c r="AR177" s="43">
        <v>0</v>
      </c>
    </row>
    <row r="178" spans="1:44" s="1748" customFormat="1" ht="11.25" hidden="1" customHeight="1">
      <c r="A178" s="212"/>
      <c r="B178" s="212"/>
      <c r="Y178" s="1183"/>
      <c r="Z178" s="1183"/>
      <c r="AA178" s="1183"/>
      <c r="AB178" s="1183"/>
      <c r="AC178" s="1183"/>
      <c r="AD178" s="1183"/>
      <c r="AE178" s="1183"/>
      <c r="AF178" s="1183"/>
      <c r="AG178" s="1183"/>
      <c r="AH178" s="1183"/>
      <c r="AI178" s="1183"/>
      <c r="AJ178" s="1183"/>
      <c r="AK178" s="1183"/>
      <c r="AL178" s="1183"/>
      <c r="AM178" s="1183"/>
      <c r="AN178" s="1183"/>
      <c r="AO178" s="1183"/>
      <c r="AP178" s="1183"/>
      <c r="AQ178" s="1183"/>
      <c r="AR178" s="1274">
        <v>0</v>
      </c>
    </row>
    <row r="179" spans="1:44" s="1748" customFormat="1" ht="17.25" hidden="1" customHeight="1">
      <c r="A179" s="256"/>
      <c r="C179" s="144"/>
      <c r="D179" s="3922">
        <v>1</v>
      </c>
      <c r="E179" s="3911" t="s">
        <v>432</v>
      </c>
      <c r="F179" s="3924" t="s">
        <v>6</v>
      </c>
      <c r="G179" s="3911"/>
      <c r="H179" s="3913"/>
      <c r="I179" s="3915"/>
      <c r="J179" s="3917"/>
      <c r="K179" s="3909"/>
      <c r="L179" s="3909"/>
      <c r="M179" s="3909"/>
      <c r="N179" s="3920"/>
      <c r="O179" s="3909"/>
      <c r="P179" s="3909"/>
      <c r="Q179" s="3909"/>
      <c r="R179" s="3907"/>
      <c r="S179" s="3909"/>
      <c r="T179" s="1394"/>
      <c r="U179" s="1394"/>
      <c r="V179" s="1396"/>
      <c r="W179" s="1220"/>
      <c r="Y179" s="1191"/>
      <c r="Z179" s="1191"/>
      <c r="AA179" s="1191"/>
      <c r="AB179" s="1191"/>
      <c r="AC179" s="1191" t="s">
        <v>433</v>
      </c>
      <c r="AD179" s="1191" t="s">
        <v>434</v>
      </c>
      <c r="AE179" s="1191" t="s">
        <v>435</v>
      </c>
      <c r="AF179" s="1191" t="s">
        <v>436</v>
      </c>
      <c r="AG179" s="1191"/>
      <c r="AH179" s="1191" t="str">
        <f>IF($E$179=0,"",$E$179)</f>
        <v>Тариф на питьевую воду (питьевое водоснабжение)</v>
      </c>
      <c r="AI179" s="1191" t="str">
        <f>IF($G$179=0,"",$G$179)</f>
        <v/>
      </c>
      <c r="AJ179" s="1191" t="str">
        <f>IF($J$179=0,"",$J$179)</f>
        <v/>
      </c>
      <c r="AK179" s="1191" t="str">
        <f>IF($K$179="нет","без дифференциации",IF($N$179=0,"",$N$179))</f>
        <v/>
      </c>
      <c r="AL179" s="1191" t="str">
        <f>IF($O$179="нет","без дифференциации",IF($R$179=0,"",$R$179))</f>
        <v/>
      </c>
      <c r="AM179" s="1191" t="str">
        <f>IF($S$179="нет","без дифференциации",IF($V$179=0,"",$V$179))</f>
        <v/>
      </c>
      <c r="AN179" s="1191">
        <f>$I$179</f>
        <v>0</v>
      </c>
      <c r="AO179" s="1191" t="str">
        <f>$I$179&amp;"."&amp;$M$179</f>
        <v>.</v>
      </c>
      <c r="AP179" s="1191" t="str">
        <f>$I$179&amp;"."&amp;$M$179&amp;"."&amp;$Q$179</f>
        <v>..</v>
      </c>
      <c r="AQ179" s="1191" t="str">
        <f>$I$179&amp;"."&amp;$M$179&amp;"."&amp;$Q$179&amp;"."&amp;$U$179</f>
        <v>...</v>
      </c>
      <c r="AR179" s="1274">
        <v>0</v>
      </c>
    </row>
    <row r="180" spans="1:44" s="1748" customFormat="1" ht="17.25" hidden="1" customHeight="1">
      <c r="A180" s="256"/>
      <c r="C180" s="255"/>
      <c r="D180" s="3922"/>
      <c r="E180" s="3911"/>
      <c r="F180" s="3925"/>
      <c r="G180" s="3911"/>
      <c r="H180" s="3914"/>
      <c r="I180" s="3916"/>
      <c r="J180" s="3918"/>
      <c r="K180" s="3910"/>
      <c r="L180" s="3910"/>
      <c r="M180" s="3910"/>
      <c r="N180" s="3921"/>
      <c r="O180" s="3910"/>
      <c r="P180" s="3910"/>
      <c r="Q180" s="3910"/>
      <c r="R180" s="3908"/>
      <c r="S180" s="3910"/>
      <c r="T180" s="1221"/>
      <c r="U180" s="1221"/>
      <c r="V180" s="1221"/>
      <c r="W180" s="1222"/>
      <c r="Y180" s="1183"/>
      <c r="Z180" s="1183"/>
      <c r="AA180" s="1183"/>
      <c r="AB180" s="1183"/>
      <c r="AC180" s="1183"/>
      <c r="AD180" s="1183"/>
      <c r="AE180" s="1183"/>
      <c r="AF180" s="1183"/>
      <c r="AG180" s="1183"/>
      <c r="AH180" s="1183"/>
      <c r="AI180" s="1183"/>
      <c r="AJ180" s="1183"/>
      <c r="AK180" s="1183"/>
      <c r="AL180" s="1183"/>
      <c r="AM180" s="1183"/>
      <c r="AN180" s="1183"/>
      <c r="AO180" s="1183"/>
      <c r="AP180" s="1183"/>
      <c r="AQ180" s="1183"/>
      <c r="AR180" s="1274">
        <v>0</v>
      </c>
    </row>
    <row r="181" spans="1:44" s="1748" customFormat="1" ht="17.25" hidden="1" customHeight="1">
      <c r="A181" s="256"/>
      <c r="C181" s="144"/>
      <c r="D181" s="3922"/>
      <c r="E181" s="3911"/>
      <c r="F181" s="3925"/>
      <c r="G181" s="3911"/>
      <c r="H181" s="3914"/>
      <c r="I181" s="3916"/>
      <c r="J181" s="3919"/>
      <c r="K181" s="3910"/>
      <c r="L181" s="3910"/>
      <c r="M181" s="3910"/>
      <c r="N181" s="3908"/>
      <c r="O181" s="3910"/>
      <c r="P181" s="1395"/>
      <c r="Q181" s="1221"/>
      <c r="R181" s="1221"/>
      <c r="S181" s="264"/>
      <c r="T181" s="264"/>
      <c r="U181" s="264"/>
      <c r="V181" s="264"/>
      <c r="W181" s="1222"/>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365">
        <v>0</v>
      </c>
    </row>
    <row r="182" spans="1:44" s="1748" customFormat="1" ht="17.25" hidden="1" customHeight="1">
      <c r="A182" s="256"/>
      <c r="C182" s="255"/>
      <c r="D182" s="3922"/>
      <c r="E182" s="3911"/>
      <c r="F182" s="3925"/>
      <c r="G182" s="3911"/>
      <c r="H182" s="3914"/>
      <c r="I182" s="3916"/>
      <c r="J182" s="3919"/>
      <c r="K182" s="3910"/>
      <c r="L182" s="1221"/>
      <c r="M182" s="1221"/>
      <c r="N182" s="1221"/>
      <c r="O182" s="1221"/>
      <c r="P182" s="1221"/>
      <c r="Q182" s="1221"/>
      <c r="R182" s="1221"/>
      <c r="S182" s="264"/>
      <c r="T182" s="264"/>
      <c r="U182" s="264"/>
      <c r="V182" s="264"/>
      <c r="W182" s="1222"/>
      <c r="Y182" s="1183"/>
      <c r="Z182" s="1183"/>
      <c r="AA182" s="1183"/>
      <c r="AB182" s="1183"/>
      <c r="AC182" s="1183"/>
      <c r="AD182" s="1183"/>
      <c r="AE182" s="1183"/>
      <c r="AF182" s="1183"/>
      <c r="AG182" s="1183"/>
      <c r="AH182" s="1183"/>
      <c r="AI182" s="1183"/>
      <c r="AJ182" s="1183"/>
      <c r="AK182" s="1183"/>
      <c r="AL182" s="1183"/>
      <c r="AM182" s="1183"/>
      <c r="AN182" s="1183"/>
      <c r="AO182" s="1183"/>
      <c r="AP182" s="1183"/>
      <c r="AQ182" s="1183"/>
      <c r="AR182" s="1365">
        <v>0</v>
      </c>
    </row>
    <row r="183" spans="1:44" s="1748" customFormat="1" ht="17.25" hidden="1" customHeight="1">
      <c r="A183" s="256"/>
      <c r="C183" s="255"/>
      <c r="D183" s="3923"/>
      <c r="E183" s="3912"/>
      <c r="F183" s="3926"/>
      <c r="G183" s="3912"/>
      <c r="H183" s="1223"/>
      <c r="I183" s="1224"/>
      <c r="J183" s="1224"/>
      <c r="K183" s="1224"/>
      <c r="L183" s="1224"/>
      <c r="M183" s="1224"/>
      <c r="N183" s="1224"/>
      <c r="O183" s="1224"/>
      <c r="P183" s="1224"/>
      <c r="Q183" s="1224"/>
      <c r="R183" s="1224"/>
      <c r="S183" s="1225"/>
      <c r="T183" s="1225"/>
      <c r="U183" s="1225"/>
      <c r="V183" s="1225"/>
      <c r="W183" s="1226"/>
      <c r="Y183" s="1183"/>
      <c r="Z183" s="1183"/>
      <c r="AA183" s="1183"/>
      <c r="AB183" s="1183"/>
      <c r="AC183" s="1183"/>
      <c r="AD183" s="1183"/>
      <c r="AE183" s="1183"/>
      <c r="AF183" s="1183"/>
      <c r="AG183" s="1183"/>
      <c r="AH183" s="1183"/>
      <c r="AI183" s="1183"/>
      <c r="AJ183" s="1183"/>
      <c r="AK183" s="1183"/>
      <c r="AL183" s="1183"/>
      <c r="AM183" s="1183"/>
      <c r="AN183" s="1183"/>
      <c r="AO183" s="1183"/>
      <c r="AP183" s="1183"/>
      <c r="AQ183" s="1183"/>
      <c r="AR183" s="1274">
        <v>0</v>
      </c>
    </row>
    <row r="184" spans="1:44" s="1748" customFormat="1" ht="17.25" hidden="1" customHeight="1">
      <c r="A184" s="256"/>
      <c r="C184" s="144"/>
      <c r="D184" s="3922">
        <v>2</v>
      </c>
      <c r="E184" s="3911" t="s">
        <v>437</v>
      </c>
      <c r="F184" s="3924" t="s">
        <v>6</v>
      </c>
      <c r="G184" s="3911"/>
      <c r="H184" s="3913"/>
      <c r="I184" s="3915"/>
      <c r="J184" s="3917"/>
      <c r="K184" s="3909"/>
      <c r="L184" s="3909"/>
      <c r="M184" s="3909"/>
      <c r="N184" s="3920"/>
      <c r="O184" s="3909"/>
      <c r="P184" s="3909"/>
      <c r="Q184" s="3909"/>
      <c r="R184" s="3907"/>
      <c r="S184" s="3909"/>
      <c r="T184" s="1367"/>
      <c r="U184" s="1367"/>
      <c r="V184" s="1369"/>
      <c r="W184" s="1220"/>
      <c r="X184" s="1191"/>
      <c r="Y184" s="1191"/>
      <c r="Z184" s="1191"/>
      <c r="AA184" s="1191"/>
      <c r="AB184" s="1191"/>
      <c r="AC184" s="1191" t="s">
        <v>438</v>
      </c>
      <c r="AD184" s="1191" t="s">
        <v>439</v>
      </c>
      <c r="AE184" s="1191" t="s">
        <v>440</v>
      </c>
      <c r="AF184" s="1191" t="s">
        <v>441</v>
      </c>
      <c r="AG184" s="1191"/>
      <c r="AH184" s="1191" t="str">
        <f>IF($E$184=0,"",$E$184)</f>
        <v>Тариф на техническую воду</v>
      </c>
      <c r="AI184" s="1191" t="str">
        <f>IF($G$184=0,"",$G$184)</f>
        <v/>
      </c>
      <c r="AJ184" s="1191" t="str">
        <f>IF($J$184=0,"",$J$184)</f>
        <v/>
      </c>
      <c r="AK184" s="1191" t="str">
        <f>IF($K$184="нет","без дифференциации",IF($N$184=0,"",$N$184))</f>
        <v/>
      </c>
      <c r="AL184" s="1191" t="str">
        <f>IF($O$184="нет","без дифференциации",IF($R$184=0,"",$R$184))</f>
        <v/>
      </c>
      <c r="AM184" s="1191" t="str">
        <f>IF($S$184="нет","без дифференциации",IF($V$184=0,"",$V$184))</f>
        <v/>
      </c>
      <c r="AN184" s="1668">
        <f>$I$184</f>
        <v>0</v>
      </c>
      <c r="AO184" s="1191" t="str">
        <f>$I$184&amp;"."&amp;$M$184</f>
        <v>.</v>
      </c>
      <c r="AP184" s="1183" t="str">
        <f>$I$184&amp;"."&amp;$M$184&amp;"."&amp;$Q$184</f>
        <v>..</v>
      </c>
      <c r="AQ184" s="1183" t="str">
        <f>$I$184&amp;"."&amp;$M$184&amp;"."&amp;$Q$184&amp;"."&amp;$U$184</f>
        <v>...</v>
      </c>
      <c r="AR184" s="1274">
        <v>0</v>
      </c>
    </row>
    <row r="185" spans="1:44" s="1748" customFormat="1" ht="17.25" hidden="1" customHeight="1">
      <c r="A185" s="256"/>
      <c r="C185" s="255"/>
      <c r="D185" s="3922"/>
      <c r="E185" s="3911"/>
      <c r="F185" s="3925"/>
      <c r="G185" s="3911"/>
      <c r="H185" s="3914"/>
      <c r="I185" s="3916"/>
      <c r="J185" s="3918"/>
      <c r="K185" s="3910"/>
      <c r="L185" s="3910"/>
      <c r="M185" s="3910"/>
      <c r="N185" s="3921"/>
      <c r="O185" s="3910"/>
      <c r="P185" s="3910"/>
      <c r="Q185" s="3910"/>
      <c r="R185" s="3908"/>
      <c r="S185" s="3910"/>
      <c r="T185" s="1221"/>
      <c r="U185" s="1221"/>
      <c r="V185" s="1221"/>
      <c r="W185" s="1222"/>
      <c r="X185" s="1183"/>
      <c r="Y185" s="1183"/>
      <c r="Z185" s="1183"/>
      <c r="AA185" s="1183"/>
      <c r="AB185" s="1183"/>
      <c r="AC185" s="1183"/>
      <c r="AD185" s="1183"/>
      <c r="AE185" s="1183"/>
      <c r="AF185" s="1183"/>
      <c r="AG185" s="1183"/>
      <c r="AH185" s="1183"/>
      <c r="AI185" s="1183"/>
      <c r="AJ185" s="1183"/>
      <c r="AK185" s="1183"/>
      <c r="AL185" s="1183"/>
      <c r="AM185" s="1183"/>
      <c r="AN185" s="1183"/>
      <c r="AO185" s="1183"/>
      <c r="AP185" s="1183"/>
      <c r="AQ185" s="1183"/>
      <c r="AR185" s="1274">
        <v>0</v>
      </c>
    </row>
    <row r="186" spans="1:44" s="1748" customFormat="1" ht="17.25" hidden="1" customHeight="1">
      <c r="A186" s="256"/>
      <c r="C186" s="255"/>
      <c r="D186" s="3923"/>
      <c r="E186" s="3912"/>
      <c r="F186" s="3925"/>
      <c r="G186" s="3912"/>
      <c r="H186" s="3914"/>
      <c r="I186" s="3916"/>
      <c r="J186" s="3919"/>
      <c r="K186" s="3910"/>
      <c r="L186" s="3910"/>
      <c r="M186" s="3910"/>
      <c r="N186" s="3908"/>
      <c r="O186" s="3910"/>
      <c r="P186" s="1368"/>
      <c r="Q186" s="1221"/>
      <c r="R186" s="1221"/>
      <c r="S186" s="264"/>
      <c r="T186" s="264"/>
      <c r="U186" s="264"/>
      <c r="V186" s="264"/>
      <c r="W186" s="1222"/>
      <c r="X186" s="1183"/>
      <c r="Y186" s="1183"/>
      <c r="Z186" s="1183"/>
      <c r="AA186" s="1183"/>
      <c r="AB186" s="1183"/>
      <c r="AC186" s="1183"/>
      <c r="AD186" s="1183"/>
      <c r="AE186" s="1183"/>
      <c r="AF186" s="1183"/>
      <c r="AG186" s="1183"/>
      <c r="AH186" s="1183"/>
      <c r="AI186" s="1183"/>
      <c r="AJ186" s="1183"/>
      <c r="AK186" s="1183"/>
      <c r="AL186" s="1183"/>
      <c r="AM186" s="1183"/>
      <c r="AN186" s="1183"/>
      <c r="AO186" s="1183"/>
      <c r="AP186" s="1183"/>
      <c r="AQ186" s="1183"/>
      <c r="AR186" s="1274">
        <v>0</v>
      </c>
    </row>
    <row r="187" spans="1:44" s="1748" customFormat="1" ht="17.25" hidden="1" customHeight="1">
      <c r="A187" s="256"/>
      <c r="C187" s="255"/>
      <c r="D187" s="3923"/>
      <c r="E187" s="3912"/>
      <c r="F187" s="3925"/>
      <c r="G187" s="3912"/>
      <c r="H187" s="3914"/>
      <c r="I187" s="3916"/>
      <c r="J187" s="3919"/>
      <c r="K187" s="3910"/>
      <c r="L187" s="1221"/>
      <c r="M187" s="1221"/>
      <c r="N187" s="1221"/>
      <c r="O187" s="1221"/>
      <c r="P187" s="1221"/>
      <c r="Q187" s="1221"/>
      <c r="R187" s="1221"/>
      <c r="S187" s="264"/>
      <c r="T187" s="264"/>
      <c r="U187" s="264"/>
      <c r="V187" s="264"/>
      <c r="W187" s="1222"/>
      <c r="X187" s="1183"/>
      <c r="Y187" s="1183"/>
      <c r="Z187" s="1183"/>
      <c r="AA187" s="1183"/>
      <c r="AB187" s="1183"/>
      <c r="AC187" s="1183"/>
      <c r="AD187" s="1183"/>
      <c r="AE187" s="1183"/>
      <c r="AF187" s="1183"/>
      <c r="AG187" s="1183"/>
      <c r="AH187" s="1183"/>
      <c r="AI187" s="1183"/>
      <c r="AJ187" s="1183"/>
      <c r="AK187" s="1183"/>
      <c r="AL187" s="1183"/>
      <c r="AM187" s="1183"/>
      <c r="AN187" s="1183"/>
      <c r="AO187" s="1183"/>
      <c r="AP187" s="1183"/>
      <c r="AQ187" s="1183"/>
      <c r="AR187" s="1274">
        <v>0</v>
      </c>
    </row>
    <row r="188" spans="1:44" s="1748" customFormat="1" ht="17.25" hidden="1" customHeight="1">
      <c r="A188" s="256"/>
      <c r="C188" s="255"/>
      <c r="D188" s="3923"/>
      <c r="E188" s="3912"/>
      <c r="F188" s="3926"/>
      <c r="G188" s="3912"/>
      <c r="H188" s="1223"/>
      <c r="I188" s="1224"/>
      <c r="J188" s="1224"/>
      <c r="K188" s="1224"/>
      <c r="L188" s="1224"/>
      <c r="M188" s="1224"/>
      <c r="N188" s="1224"/>
      <c r="O188" s="1224"/>
      <c r="P188" s="1224"/>
      <c r="Q188" s="1224"/>
      <c r="R188" s="1224"/>
      <c r="S188" s="1225"/>
      <c r="T188" s="1225"/>
      <c r="U188" s="1225"/>
      <c r="V188" s="1225"/>
      <c r="W188" s="1226"/>
      <c r="X188" s="1183"/>
      <c r="Y188" s="1183"/>
      <c r="Z188" s="1183"/>
      <c r="AA188" s="1183"/>
      <c r="AB188" s="1183"/>
      <c r="AC188" s="1183"/>
      <c r="AD188" s="1183"/>
      <c r="AE188" s="1183"/>
      <c r="AF188" s="1183"/>
      <c r="AG188" s="1183"/>
      <c r="AH188" s="1183"/>
      <c r="AI188" s="1183"/>
      <c r="AJ188" s="1183"/>
      <c r="AK188" s="1183"/>
      <c r="AL188" s="1183"/>
      <c r="AM188" s="1183"/>
      <c r="AN188" s="1183"/>
      <c r="AO188" s="1183"/>
      <c r="AP188" s="1183"/>
      <c r="AQ188" s="1183"/>
      <c r="AR188" s="1274">
        <v>0</v>
      </c>
    </row>
    <row r="189" spans="1:44" s="1748" customFormat="1" ht="17.25" hidden="1" customHeight="1">
      <c r="A189" s="256"/>
      <c r="C189" s="144"/>
      <c r="D189" s="3922">
        <v>3</v>
      </c>
      <c r="E189" s="3911" t="s">
        <v>442</v>
      </c>
      <c r="F189" s="3924" t="s">
        <v>6</v>
      </c>
      <c r="G189" s="3911"/>
      <c r="H189" s="3913"/>
      <c r="I189" s="3915"/>
      <c r="J189" s="3917"/>
      <c r="K189" s="3909"/>
      <c r="L189" s="3909"/>
      <c r="M189" s="3909"/>
      <c r="N189" s="3920"/>
      <c r="O189" s="3909"/>
      <c r="P189" s="3909"/>
      <c r="Q189" s="3909"/>
      <c r="R189" s="3907"/>
      <c r="S189" s="3909"/>
      <c r="T189" s="1367"/>
      <c r="U189" s="1367"/>
      <c r="V189" s="1369"/>
      <c r="W189" s="1220"/>
      <c r="X189" s="1191"/>
      <c r="Y189" s="1191"/>
      <c r="Z189" s="1191"/>
      <c r="AA189" s="1191"/>
      <c r="AB189" s="1191"/>
      <c r="AC189" s="1191" t="s">
        <v>443</v>
      </c>
      <c r="AD189" s="1191" t="s">
        <v>444</v>
      </c>
      <c r="AE189" s="1191" t="s">
        <v>445</v>
      </c>
      <c r="AF189" s="1191" t="s">
        <v>446</v>
      </c>
      <c r="AG189" s="1191"/>
      <c r="AH189" s="1191" t="str">
        <f>IF($E$189=0,"",$E$189)</f>
        <v>Тариф на транспортировку воды</v>
      </c>
      <c r="AI189" s="1191" t="str">
        <f>IF($G$189=0,"",$G$189)</f>
        <v/>
      </c>
      <c r="AJ189" s="1191" t="str">
        <f>IF($J$189=0,"",$J$189)</f>
        <v/>
      </c>
      <c r="AK189" s="1191" t="str">
        <f>IF($K$189="нет","без дифференциации",IF($N$189=0,"",$N$189))</f>
        <v/>
      </c>
      <c r="AL189" s="1191" t="str">
        <f>IF($O$189="нет","без дифференциации",IF($R$189=0,"",$R$189))</f>
        <v/>
      </c>
      <c r="AM189" s="1191" t="str">
        <f>IF($S$189="нет","без дифференциации",IF($V$189=0,"",$V$189))</f>
        <v/>
      </c>
      <c r="AN189" s="1668">
        <f>$I$189</f>
        <v>0</v>
      </c>
      <c r="AO189" s="1191" t="str">
        <f>$I$189&amp;"."&amp;$M$189</f>
        <v>.</v>
      </c>
      <c r="AP189" s="1183" t="str">
        <f>$I$189&amp;"."&amp;$M$189&amp;"."&amp;$Q$189</f>
        <v>..</v>
      </c>
      <c r="AQ189" s="1183" t="str">
        <f>$I$189&amp;"."&amp;$M$189&amp;"."&amp;$Q$189&amp;"."&amp;$U$189</f>
        <v>...</v>
      </c>
      <c r="AR189" s="1274">
        <v>0</v>
      </c>
    </row>
    <row r="190" spans="1:44" s="1748" customFormat="1" ht="17.25" hidden="1" customHeight="1">
      <c r="A190" s="256"/>
      <c r="C190" s="255"/>
      <c r="D190" s="3922"/>
      <c r="E190" s="3911"/>
      <c r="F190" s="3925"/>
      <c r="G190" s="3911"/>
      <c r="H190" s="3914"/>
      <c r="I190" s="3916"/>
      <c r="J190" s="3918"/>
      <c r="K190" s="3910"/>
      <c r="L190" s="3910"/>
      <c r="M190" s="3910"/>
      <c r="N190" s="3921"/>
      <c r="O190" s="3910"/>
      <c r="P190" s="3910"/>
      <c r="Q190" s="3910"/>
      <c r="R190" s="3908"/>
      <c r="S190" s="3910"/>
      <c r="T190" s="1221"/>
      <c r="U190" s="1221"/>
      <c r="V190" s="1221"/>
      <c r="W190" s="1222"/>
      <c r="X190" s="1183"/>
      <c r="Y190" s="1183"/>
      <c r="Z190" s="1183"/>
      <c r="AA190" s="1183"/>
      <c r="AB190" s="1183"/>
      <c r="AC190" s="1183"/>
      <c r="AD190" s="1183"/>
      <c r="AE190" s="1183"/>
      <c r="AF190" s="1183"/>
      <c r="AG190" s="1183"/>
      <c r="AH190" s="1183"/>
      <c r="AI190" s="1183"/>
      <c r="AJ190" s="1183"/>
      <c r="AK190" s="1183"/>
      <c r="AL190" s="1183"/>
      <c r="AM190" s="1183"/>
      <c r="AN190" s="1183"/>
      <c r="AO190" s="1183"/>
      <c r="AP190" s="1183"/>
      <c r="AQ190" s="1183"/>
      <c r="AR190" s="1274">
        <v>0</v>
      </c>
    </row>
    <row r="191" spans="1:44" s="1748" customFormat="1" ht="17.25" hidden="1" customHeight="1">
      <c r="A191" s="256"/>
      <c r="C191" s="255"/>
      <c r="D191" s="3923"/>
      <c r="E191" s="3912"/>
      <c r="F191" s="3925"/>
      <c r="G191" s="3912"/>
      <c r="H191" s="3914"/>
      <c r="I191" s="3916"/>
      <c r="J191" s="3919"/>
      <c r="K191" s="3910"/>
      <c r="L191" s="3910"/>
      <c r="M191" s="3910"/>
      <c r="N191" s="3908"/>
      <c r="O191" s="3910"/>
      <c r="P191" s="1368"/>
      <c r="Q191" s="1221"/>
      <c r="R191" s="1221"/>
      <c r="S191" s="264"/>
      <c r="T191" s="264"/>
      <c r="U191" s="264"/>
      <c r="V191" s="264"/>
      <c r="W191" s="1222"/>
      <c r="X191" s="1183"/>
      <c r="Y191" s="1183"/>
      <c r="Z191" s="1183"/>
      <c r="AA191" s="1183"/>
      <c r="AB191" s="1183"/>
      <c r="AC191" s="1183"/>
      <c r="AD191" s="1183"/>
      <c r="AE191" s="1183"/>
      <c r="AF191" s="1183"/>
      <c r="AG191" s="1183"/>
      <c r="AH191" s="1183"/>
      <c r="AI191" s="1183"/>
      <c r="AJ191" s="1183"/>
      <c r="AK191" s="1183"/>
      <c r="AL191" s="1183"/>
      <c r="AM191" s="1183"/>
      <c r="AN191" s="1183"/>
      <c r="AO191" s="1183"/>
      <c r="AP191" s="1183"/>
      <c r="AQ191" s="1183"/>
      <c r="AR191" s="1274">
        <v>0</v>
      </c>
    </row>
    <row r="192" spans="1:44" s="1748" customFormat="1" ht="17.25" hidden="1" customHeight="1">
      <c r="A192" s="256"/>
      <c r="C192" s="255"/>
      <c r="D192" s="3923"/>
      <c r="E192" s="3912"/>
      <c r="F192" s="3925"/>
      <c r="G192" s="3912"/>
      <c r="H192" s="3914"/>
      <c r="I192" s="3916"/>
      <c r="J192" s="3919"/>
      <c r="K192" s="3910"/>
      <c r="L192" s="1221"/>
      <c r="M192" s="1221"/>
      <c r="N192" s="1221"/>
      <c r="O192" s="1221"/>
      <c r="P192" s="1221"/>
      <c r="Q192" s="1221"/>
      <c r="R192" s="1221"/>
      <c r="S192" s="264"/>
      <c r="T192" s="264"/>
      <c r="U192" s="264"/>
      <c r="V192" s="264"/>
      <c r="W192" s="1222"/>
      <c r="X192" s="1183"/>
      <c r="Y192" s="1183"/>
      <c r="Z192" s="1183"/>
      <c r="AA192" s="1183"/>
      <c r="AB192" s="1183"/>
      <c r="AC192" s="1183"/>
      <c r="AD192" s="1183"/>
      <c r="AE192" s="1183"/>
      <c r="AF192" s="1183"/>
      <c r="AG192" s="1183"/>
      <c r="AH192" s="1183"/>
      <c r="AI192" s="1183"/>
      <c r="AJ192" s="1183"/>
      <c r="AK192" s="1183"/>
      <c r="AL192" s="1183"/>
      <c r="AM192" s="1183"/>
      <c r="AN192" s="1183"/>
      <c r="AO192" s="1183"/>
      <c r="AP192" s="1183"/>
      <c r="AQ192" s="1183"/>
      <c r="AR192" s="1274">
        <v>0</v>
      </c>
    </row>
    <row r="193" spans="1:44" s="1748" customFormat="1" ht="17.25" hidden="1" customHeight="1">
      <c r="A193" s="256"/>
      <c r="C193" s="255"/>
      <c r="D193" s="3923"/>
      <c r="E193" s="3912"/>
      <c r="F193" s="3926"/>
      <c r="G193" s="3912"/>
      <c r="H193" s="1223"/>
      <c r="I193" s="1224"/>
      <c r="J193" s="1224"/>
      <c r="K193" s="1224"/>
      <c r="L193" s="1224"/>
      <c r="M193" s="1224"/>
      <c r="N193" s="1224"/>
      <c r="O193" s="1224"/>
      <c r="P193" s="1224"/>
      <c r="Q193" s="1224"/>
      <c r="R193" s="1224"/>
      <c r="S193" s="1225"/>
      <c r="T193" s="1225"/>
      <c r="U193" s="1225"/>
      <c r="V193" s="1225"/>
      <c r="W193" s="1226"/>
      <c r="X193" s="1183"/>
      <c r="Y193" s="1183"/>
      <c r="Z193" s="1183"/>
      <c r="AA193" s="1183"/>
      <c r="AB193" s="1183"/>
      <c r="AC193" s="1183"/>
      <c r="AD193" s="1183"/>
      <c r="AE193" s="1183"/>
      <c r="AF193" s="1183"/>
      <c r="AG193" s="1183"/>
      <c r="AH193" s="1183"/>
      <c r="AI193" s="1183"/>
      <c r="AJ193" s="1183"/>
      <c r="AK193" s="1183"/>
      <c r="AL193" s="1183"/>
      <c r="AM193" s="1183"/>
      <c r="AN193" s="1183"/>
      <c r="AO193" s="1183"/>
      <c r="AP193" s="1183"/>
      <c r="AQ193" s="1183"/>
      <c r="AR193" s="1274">
        <v>0</v>
      </c>
    </row>
    <row r="194" spans="1:44" s="1748" customFormat="1" ht="17.25" hidden="1" customHeight="1">
      <c r="A194" s="256"/>
      <c r="C194" s="144"/>
      <c r="D194" s="3922">
        <v>4</v>
      </c>
      <c r="E194" s="3911" t="s">
        <v>447</v>
      </c>
      <c r="F194" s="3924" t="s">
        <v>6</v>
      </c>
      <c r="G194" s="3911"/>
      <c r="H194" s="3913"/>
      <c r="I194" s="3915"/>
      <c r="J194" s="3917"/>
      <c r="K194" s="3909"/>
      <c r="L194" s="3909"/>
      <c r="M194" s="3909"/>
      <c r="N194" s="3920"/>
      <c r="O194" s="3909"/>
      <c r="P194" s="3909"/>
      <c r="Q194" s="3909"/>
      <c r="R194" s="3907"/>
      <c r="S194" s="3909"/>
      <c r="T194" s="1367"/>
      <c r="U194" s="1367"/>
      <c r="V194" s="1369"/>
      <c r="W194" s="1220"/>
      <c r="X194" s="1191"/>
      <c r="Y194" s="1191"/>
      <c r="Z194" s="1191"/>
      <c r="AA194" s="1191"/>
      <c r="AB194" s="1191"/>
      <c r="AC194" s="1191" t="s">
        <v>448</v>
      </c>
      <c r="AD194" s="1191" t="s">
        <v>449</v>
      </c>
      <c r="AE194" s="1191" t="s">
        <v>450</v>
      </c>
      <c r="AF194" s="1191" t="s">
        <v>451</v>
      </c>
      <c r="AG194" s="1191"/>
      <c r="AH194" s="1191" t="str">
        <f>IF($E$194=0,"",$E$194)</f>
        <v>Тариф на подвоз воды</v>
      </c>
      <c r="AI194" s="1191" t="str">
        <f>IF($G$194=0,"",$G$194)</f>
        <v/>
      </c>
      <c r="AJ194" s="1191" t="str">
        <f>IF($J$194=0,"",$J$194)</f>
        <v/>
      </c>
      <c r="AK194" s="1191" t="str">
        <f>IF($K$194="нет","без дифференциации",IF($N$194=0,"",$N$194))</f>
        <v/>
      </c>
      <c r="AL194" s="1191" t="str">
        <f>IF($O$194="нет","без дифференциации",IF($R$194=0,"",$R$194))</f>
        <v/>
      </c>
      <c r="AM194" s="1191" t="str">
        <f>IF($S$194="нет","без дифференциации",IF($V$194=0,"",$V$194))</f>
        <v/>
      </c>
      <c r="AN194" s="1668">
        <f>$I$194</f>
        <v>0</v>
      </c>
      <c r="AO194" s="1191" t="str">
        <f>$I$194&amp;"."&amp;$M$194</f>
        <v>.</v>
      </c>
      <c r="AP194" s="1183" t="str">
        <f>$I$194&amp;"."&amp;$M$194&amp;"."&amp;$Q$194</f>
        <v>..</v>
      </c>
      <c r="AQ194" s="1183" t="str">
        <f>$I$194&amp;"."&amp;$M$194&amp;"."&amp;$Q$194&amp;"."&amp;$U$194</f>
        <v>...</v>
      </c>
      <c r="AR194" s="1274">
        <v>0</v>
      </c>
    </row>
    <row r="195" spans="1:44" s="1748" customFormat="1" ht="17.25" hidden="1" customHeight="1">
      <c r="A195" s="256"/>
      <c r="C195" s="255"/>
      <c r="D195" s="3922"/>
      <c r="E195" s="3911"/>
      <c r="F195" s="3925"/>
      <c r="G195" s="3911"/>
      <c r="H195" s="3914"/>
      <c r="I195" s="3916"/>
      <c r="J195" s="3918"/>
      <c r="K195" s="3910"/>
      <c r="L195" s="3910"/>
      <c r="M195" s="3910"/>
      <c r="N195" s="3921"/>
      <c r="O195" s="3910"/>
      <c r="P195" s="3910"/>
      <c r="Q195" s="3910"/>
      <c r="R195" s="3908"/>
      <c r="S195" s="3910"/>
      <c r="T195" s="1221"/>
      <c r="U195" s="1221"/>
      <c r="V195" s="1221"/>
      <c r="W195" s="1222"/>
      <c r="X195" s="1183"/>
      <c r="Y195" s="1183"/>
      <c r="Z195" s="1183"/>
      <c r="AA195" s="1183"/>
      <c r="AB195" s="1183"/>
      <c r="AC195" s="1183"/>
      <c r="AD195" s="1183"/>
      <c r="AE195" s="1183"/>
      <c r="AF195" s="1183"/>
      <c r="AG195" s="1183"/>
      <c r="AH195" s="1183"/>
      <c r="AI195" s="1183"/>
      <c r="AJ195" s="1183"/>
      <c r="AK195" s="1183"/>
      <c r="AL195" s="1183"/>
      <c r="AM195" s="1183"/>
      <c r="AN195" s="1183"/>
      <c r="AO195" s="1183"/>
      <c r="AP195" s="1183"/>
      <c r="AQ195" s="1183"/>
      <c r="AR195" s="1274">
        <v>0</v>
      </c>
    </row>
    <row r="196" spans="1:44" s="1748" customFormat="1" ht="17.25" hidden="1" customHeight="1">
      <c r="A196" s="256"/>
      <c r="C196" s="255"/>
      <c r="D196" s="3923"/>
      <c r="E196" s="3912"/>
      <c r="F196" s="3925"/>
      <c r="G196" s="3912"/>
      <c r="H196" s="3914"/>
      <c r="I196" s="3916"/>
      <c r="J196" s="3919"/>
      <c r="K196" s="3910"/>
      <c r="L196" s="3910"/>
      <c r="M196" s="3910"/>
      <c r="N196" s="3908"/>
      <c r="O196" s="3910"/>
      <c r="P196" s="1368"/>
      <c r="Q196" s="1221"/>
      <c r="R196" s="1221"/>
      <c r="S196" s="264"/>
      <c r="T196" s="264"/>
      <c r="U196" s="264"/>
      <c r="V196" s="264"/>
      <c r="W196" s="1222"/>
      <c r="X196" s="1183"/>
      <c r="Y196" s="1183"/>
      <c r="Z196" s="1183"/>
      <c r="AA196" s="1183"/>
      <c r="AB196" s="1183"/>
      <c r="AC196" s="1183"/>
      <c r="AD196" s="1183"/>
      <c r="AE196" s="1183"/>
      <c r="AF196" s="1183"/>
      <c r="AG196" s="1183"/>
      <c r="AH196" s="1183"/>
      <c r="AI196" s="1183"/>
      <c r="AJ196" s="1183"/>
      <c r="AK196" s="1183"/>
      <c r="AL196" s="1183"/>
      <c r="AM196" s="1183"/>
      <c r="AN196" s="1183"/>
      <c r="AO196" s="1183"/>
      <c r="AP196" s="1183"/>
      <c r="AQ196" s="1183"/>
      <c r="AR196" s="1274">
        <v>0</v>
      </c>
    </row>
    <row r="197" spans="1:44" s="1748" customFormat="1" ht="17.25" hidden="1" customHeight="1">
      <c r="A197" s="256"/>
      <c r="C197" s="255"/>
      <c r="D197" s="3923"/>
      <c r="E197" s="3912"/>
      <c r="F197" s="3925"/>
      <c r="G197" s="3912"/>
      <c r="H197" s="3914"/>
      <c r="I197" s="3916"/>
      <c r="J197" s="3919"/>
      <c r="K197" s="3910"/>
      <c r="L197" s="1221"/>
      <c r="M197" s="1221"/>
      <c r="N197" s="1221"/>
      <c r="O197" s="1221"/>
      <c r="P197" s="1221"/>
      <c r="Q197" s="1221"/>
      <c r="R197" s="1221"/>
      <c r="S197" s="264"/>
      <c r="T197" s="264"/>
      <c r="U197" s="264"/>
      <c r="V197" s="264"/>
      <c r="W197" s="1222"/>
      <c r="X197" s="1183"/>
      <c r="Y197" s="1183"/>
      <c r="Z197" s="1183"/>
      <c r="AA197" s="1183"/>
      <c r="AB197" s="1183"/>
      <c r="AC197" s="1183"/>
      <c r="AD197" s="1183"/>
      <c r="AE197" s="1183"/>
      <c r="AF197" s="1183"/>
      <c r="AG197" s="1183"/>
      <c r="AH197" s="1183"/>
      <c r="AI197" s="1183"/>
      <c r="AJ197" s="1183"/>
      <c r="AK197" s="1183"/>
      <c r="AL197" s="1183"/>
      <c r="AM197" s="1183"/>
      <c r="AN197" s="1183"/>
      <c r="AO197" s="1183"/>
      <c r="AP197" s="1183"/>
      <c r="AQ197" s="1183"/>
      <c r="AR197" s="1274">
        <v>0</v>
      </c>
    </row>
    <row r="198" spans="1:44" s="1748" customFormat="1" ht="17.25" hidden="1" customHeight="1">
      <c r="A198" s="256"/>
      <c r="C198" s="255"/>
      <c r="D198" s="3923"/>
      <c r="E198" s="3912"/>
      <c r="F198" s="3926"/>
      <c r="G198" s="3912"/>
      <c r="H198" s="1223"/>
      <c r="I198" s="1224"/>
      <c r="J198" s="1224"/>
      <c r="K198" s="1224"/>
      <c r="L198" s="1224"/>
      <c r="M198" s="1224"/>
      <c r="N198" s="1224"/>
      <c r="O198" s="1224"/>
      <c r="P198" s="1224"/>
      <c r="Q198" s="1224"/>
      <c r="R198" s="1224"/>
      <c r="S198" s="1225"/>
      <c r="T198" s="1225"/>
      <c r="U198" s="1225"/>
      <c r="V198" s="1225"/>
      <c r="W198" s="1226"/>
      <c r="X198" s="1183"/>
      <c r="Y198" s="1183"/>
      <c r="Z198" s="1183"/>
      <c r="AA198" s="1183"/>
      <c r="AB198" s="1183"/>
      <c r="AC198" s="1183"/>
      <c r="AD198" s="1183"/>
      <c r="AE198" s="1183"/>
      <c r="AF198" s="1183"/>
      <c r="AG198" s="1183"/>
      <c r="AH198" s="1183"/>
      <c r="AI198" s="1183"/>
      <c r="AJ198" s="1183"/>
      <c r="AK198" s="1183"/>
      <c r="AL198" s="1183"/>
      <c r="AM198" s="1183"/>
      <c r="AN198" s="1183"/>
      <c r="AO198" s="1183"/>
      <c r="AP198" s="1183"/>
      <c r="AQ198" s="1183"/>
      <c r="AR198" s="1274">
        <v>0</v>
      </c>
    </row>
    <row r="199" spans="1:44" s="1748" customFormat="1" ht="17.25" hidden="1" customHeight="1">
      <c r="A199" s="256"/>
      <c r="C199" s="144"/>
      <c r="D199" s="3922">
        <v>5</v>
      </c>
      <c r="E199" s="3911" t="s">
        <v>452</v>
      </c>
      <c r="F199" s="3924" t="s">
        <v>6</v>
      </c>
      <c r="G199" s="3911"/>
      <c r="H199" s="3913"/>
      <c r="I199" s="3915"/>
      <c r="J199" s="3917"/>
      <c r="K199" s="3909"/>
      <c r="L199" s="3909"/>
      <c r="M199" s="3909"/>
      <c r="N199" s="3920"/>
      <c r="O199" s="3909"/>
      <c r="P199" s="3909"/>
      <c r="Q199" s="3909"/>
      <c r="R199" s="3907"/>
      <c r="S199" s="3909"/>
      <c r="T199" s="1835"/>
      <c r="U199" s="1835"/>
      <c r="V199" s="1837"/>
      <c r="W199" s="1220"/>
      <c r="X199" s="1191"/>
      <c r="Y199" s="1191"/>
      <c r="Z199" s="1191"/>
      <c r="AA199" s="1191"/>
      <c r="AB199" s="1191"/>
      <c r="AC199" s="1191" t="s">
        <v>453</v>
      </c>
      <c r="AD199" s="1191" t="s">
        <v>454</v>
      </c>
      <c r="AE199" s="1191" t="s">
        <v>455</v>
      </c>
      <c r="AF199" s="1191" t="s">
        <v>456</v>
      </c>
      <c r="AG199" s="1191"/>
      <c r="AH199" s="1191" t="str">
        <f>IF($E$199=0,"",$E$199)</f>
        <v>Тариф на подключение (технологическое присоединение) к централизованной системе холодного водоснабжения</v>
      </c>
      <c r="AI199" s="1191" t="str">
        <f>IF($G$199=0,"",$G$199)</f>
        <v/>
      </c>
      <c r="AJ199" s="1191" t="str">
        <f>IF($J$199=0,"",$J$199)</f>
        <v/>
      </c>
      <c r="AK199" s="1191" t="str">
        <f>IF($K$199="нет","без дифференциации",IF($N$199=0,"",$N$199))</f>
        <v/>
      </c>
      <c r="AL199" s="1191" t="str">
        <f>IF($O$199="нет","без дифференциации",IF($R$199=0,"",$R$199))</f>
        <v/>
      </c>
      <c r="AM199" s="1191" t="str">
        <f>IF($S$199="нет","без дифференциации",IF($V$199=0,"",$V$199))</f>
        <v/>
      </c>
      <c r="AN199" s="1668">
        <f>$I$199</f>
        <v>0</v>
      </c>
      <c r="AO199" s="1191" t="str">
        <f>$I$199&amp;"."&amp;$M$199</f>
        <v>.</v>
      </c>
      <c r="AP199" s="1190" t="str">
        <f>$I$199&amp;"."&amp;$M$199&amp;"."&amp;$Q$199</f>
        <v>..</v>
      </c>
      <c r="AQ199" s="1190" t="str">
        <f>$I$199&amp;"."&amp;$M$199&amp;"."&amp;$Q$199&amp;"."&amp;$U$199</f>
        <v>...</v>
      </c>
      <c r="AR199" s="1391">
        <v>0</v>
      </c>
    </row>
    <row r="200" spans="1:44" s="1748" customFormat="1" ht="17.25" hidden="1" customHeight="1">
      <c r="A200" s="256"/>
      <c r="C200" s="255"/>
      <c r="D200" s="3922"/>
      <c r="E200" s="3911"/>
      <c r="F200" s="3925"/>
      <c r="G200" s="3911"/>
      <c r="H200" s="3914"/>
      <c r="I200" s="3916"/>
      <c r="J200" s="3918"/>
      <c r="K200" s="3910"/>
      <c r="L200" s="3910"/>
      <c r="M200" s="3910"/>
      <c r="N200" s="3921"/>
      <c r="O200" s="3910"/>
      <c r="P200" s="3910"/>
      <c r="Q200" s="3910"/>
      <c r="R200" s="3908"/>
      <c r="S200" s="3910"/>
      <c r="T200" s="1840"/>
      <c r="U200" s="1840"/>
      <c r="V200" s="1840"/>
      <c r="W200" s="1841"/>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391">
        <v>0</v>
      </c>
    </row>
    <row r="201" spans="1:44" s="1748" customFormat="1" ht="17.25" hidden="1" customHeight="1">
      <c r="A201" s="256"/>
      <c r="C201" s="255"/>
      <c r="D201" s="3923"/>
      <c r="E201" s="3912"/>
      <c r="F201" s="3925"/>
      <c r="G201" s="3912"/>
      <c r="H201" s="3914"/>
      <c r="I201" s="3916"/>
      <c r="J201" s="3919"/>
      <c r="K201" s="3910"/>
      <c r="L201" s="3910"/>
      <c r="M201" s="3910"/>
      <c r="N201" s="3908"/>
      <c r="O201" s="3910"/>
      <c r="P201" s="1836"/>
      <c r="Q201" s="1840"/>
      <c r="R201" s="1840"/>
      <c r="S201" s="264"/>
      <c r="T201" s="264"/>
      <c r="U201" s="264"/>
      <c r="V201" s="264"/>
      <c r="W201" s="1841"/>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391">
        <v>0</v>
      </c>
    </row>
    <row r="202" spans="1:44" s="1748" customFormat="1" ht="17.25" hidden="1" customHeight="1">
      <c r="A202" s="256"/>
      <c r="C202" s="255"/>
      <c r="D202" s="3923"/>
      <c r="E202" s="3912"/>
      <c r="F202" s="3925"/>
      <c r="G202" s="3912"/>
      <c r="H202" s="3914"/>
      <c r="I202" s="3916"/>
      <c r="J202" s="3919"/>
      <c r="K202" s="3910"/>
      <c r="L202" s="1840"/>
      <c r="M202" s="1840"/>
      <c r="N202" s="1840"/>
      <c r="O202" s="1840"/>
      <c r="P202" s="1840"/>
      <c r="Q202" s="1840"/>
      <c r="R202" s="1840"/>
      <c r="S202" s="264"/>
      <c r="T202" s="264"/>
      <c r="U202" s="264"/>
      <c r="V202" s="264"/>
      <c r="W202" s="1841"/>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391">
        <v>0</v>
      </c>
    </row>
    <row r="203" spans="1:44" s="1748" customFormat="1" ht="17.25" hidden="1" customHeight="1">
      <c r="A203" s="256"/>
      <c r="C203" s="255"/>
      <c r="D203" s="3923"/>
      <c r="E203" s="3912"/>
      <c r="F203" s="3926"/>
      <c r="G203" s="3912"/>
      <c r="H203" s="1223"/>
      <c r="I203" s="1838"/>
      <c r="J203" s="1838"/>
      <c r="K203" s="1838"/>
      <c r="L203" s="1838"/>
      <c r="M203" s="1838"/>
      <c r="N203" s="1838"/>
      <c r="O203" s="1838"/>
      <c r="P203" s="1838"/>
      <c r="Q203" s="1838"/>
      <c r="R203" s="1838"/>
      <c r="S203" s="1225"/>
      <c r="T203" s="1225"/>
      <c r="U203" s="1225"/>
      <c r="V203" s="1225"/>
      <c r="W203" s="1839"/>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391">
        <v>0</v>
      </c>
    </row>
    <row r="204" spans="1:44" s="1748" customFormat="1" ht="11.25" hidden="1" customHeight="1">
      <c r="A204" s="212"/>
      <c r="B204" s="212"/>
      <c r="Y204" s="1183"/>
      <c r="Z204" s="1183"/>
      <c r="AA204" s="1183"/>
      <c r="AB204" s="1183"/>
      <c r="AC204" s="1183"/>
      <c r="AD204" s="1183"/>
      <c r="AE204" s="1183"/>
      <c r="AF204" s="1183"/>
      <c r="AG204" s="1183"/>
      <c r="AH204" s="1183"/>
      <c r="AI204" s="1183"/>
      <c r="AJ204" s="1183"/>
      <c r="AK204" s="1183"/>
      <c r="AL204" s="1183"/>
      <c r="AM204" s="1183"/>
      <c r="AN204" s="1183"/>
      <c r="AO204" s="1183"/>
      <c r="AP204" s="1183"/>
      <c r="AQ204" s="1183"/>
      <c r="AR204" s="1391">
        <v>0</v>
      </c>
    </row>
    <row r="205" spans="1:44" s="1748" customFormat="1" ht="17.25" hidden="1" customHeight="1">
      <c r="A205" s="256"/>
      <c r="C205" s="144"/>
      <c r="D205" s="3922">
        <v>1</v>
      </c>
      <c r="E205" s="3911" t="s">
        <v>457</v>
      </c>
      <c r="F205" s="3924" t="s">
        <v>6</v>
      </c>
      <c r="G205" s="3911"/>
      <c r="H205" s="3913"/>
      <c r="I205" s="3915"/>
      <c r="J205" s="3917"/>
      <c r="K205" s="3909"/>
      <c r="L205" s="3909"/>
      <c r="M205" s="3909"/>
      <c r="N205" s="3920"/>
      <c r="O205" s="3909"/>
      <c r="P205" s="3909"/>
      <c r="Q205" s="3909"/>
      <c r="R205" s="3907"/>
      <c r="S205" s="3909"/>
      <c r="T205" s="1394"/>
      <c r="U205" s="1394"/>
      <c r="V205" s="1396"/>
      <c r="W205" s="1220"/>
      <c r="Y205" s="1191"/>
      <c r="Z205" s="1191"/>
      <c r="AA205" s="1191"/>
      <c r="AB205" s="1191"/>
      <c r="AC205" s="1191" t="s">
        <v>458</v>
      </c>
      <c r="AD205" s="1191" t="s">
        <v>459</v>
      </c>
      <c r="AE205" s="1191" t="s">
        <v>460</v>
      </c>
      <c r="AF205" s="1191" t="s">
        <v>461</v>
      </c>
      <c r="AG205" s="1191"/>
      <c r="AH205" s="1191" t="str">
        <f>IF($E$205=0,"",$E$205)</f>
        <v>Тариф на горячую воду (горячее водоснабжение)</v>
      </c>
      <c r="AI205" s="1191" t="str">
        <f>IF($G$205=0,"",$G$205)</f>
        <v/>
      </c>
      <c r="AJ205" s="1191" t="str">
        <f>IF($J$205=0,"",$J$205)</f>
        <v/>
      </c>
      <c r="AK205" s="1191" t="str">
        <f>IF($K$205="нет","без дифференциации",IF($N$205=0,"",$N$205))</f>
        <v/>
      </c>
      <c r="AL205" s="1191" t="str">
        <f>IF($O$205="нет","без дифференциации",IF($R$205=0,"",$R$205))</f>
        <v/>
      </c>
      <c r="AM205" s="1191" t="str">
        <f>IF($S$205="нет","без дифференциации",IF($V$205=0,"",$V$205))</f>
        <v/>
      </c>
      <c r="AN205" s="1191">
        <f>$I$205</f>
        <v>0</v>
      </c>
      <c r="AO205" s="1191" t="str">
        <f>$I$205&amp;"."&amp;$M$205</f>
        <v>.</v>
      </c>
      <c r="AP205" s="1191" t="str">
        <f>$I$205&amp;"."&amp;$M$205&amp;"."&amp;$Q$205</f>
        <v>..</v>
      </c>
      <c r="AQ205" s="1191" t="str">
        <f>$I$205&amp;"."&amp;$M$205&amp;"."&amp;$Q$205&amp;"."&amp;$U$205</f>
        <v>...</v>
      </c>
      <c r="AR205" s="1391">
        <v>0</v>
      </c>
    </row>
    <row r="206" spans="1:44" s="1748" customFormat="1" ht="17.25" hidden="1" customHeight="1">
      <c r="A206" s="256"/>
      <c r="C206" s="255"/>
      <c r="D206" s="3922"/>
      <c r="E206" s="3911"/>
      <c r="F206" s="3925"/>
      <c r="G206" s="3911"/>
      <c r="H206" s="3914"/>
      <c r="I206" s="3916"/>
      <c r="J206" s="3918"/>
      <c r="K206" s="3910"/>
      <c r="L206" s="3910"/>
      <c r="M206" s="3910"/>
      <c r="N206" s="3921"/>
      <c r="O206" s="3910"/>
      <c r="P206" s="3910"/>
      <c r="Q206" s="3910"/>
      <c r="R206" s="3908"/>
      <c r="S206" s="3910"/>
      <c r="T206" s="1221"/>
      <c r="U206" s="1221"/>
      <c r="V206" s="1221"/>
      <c r="W206" s="1222"/>
      <c r="Y206" s="1183"/>
      <c r="Z206" s="1183"/>
      <c r="AA206" s="1183"/>
      <c r="AB206" s="1183"/>
      <c r="AC206" s="1183"/>
      <c r="AD206" s="1183"/>
      <c r="AE206" s="1183"/>
      <c r="AF206" s="1183"/>
      <c r="AG206" s="1183"/>
      <c r="AH206" s="1183"/>
      <c r="AI206" s="1183"/>
      <c r="AJ206" s="1183"/>
      <c r="AK206" s="1183"/>
      <c r="AL206" s="1183"/>
      <c r="AM206" s="1183"/>
      <c r="AN206" s="1183"/>
      <c r="AO206" s="1183"/>
      <c r="AP206" s="1183"/>
      <c r="AQ206" s="1183"/>
      <c r="AR206" s="1391">
        <v>0</v>
      </c>
    </row>
    <row r="207" spans="1:44" s="1748" customFormat="1" ht="17.25" hidden="1" customHeight="1">
      <c r="A207" s="256"/>
      <c r="C207" s="144"/>
      <c r="D207" s="3922"/>
      <c r="E207" s="3911"/>
      <c r="F207" s="3925"/>
      <c r="G207" s="3911"/>
      <c r="H207" s="3914"/>
      <c r="I207" s="3916"/>
      <c r="J207" s="3919"/>
      <c r="K207" s="3910"/>
      <c r="L207" s="3910"/>
      <c r="M207" s="3910"/>
      <c r="N207" s="3908"/>
      <c r="O207" s="3910"/>
      <c r="P207" s="1395"/>
      <c r="Q207" s="1221"/>
      <c r="R207" s="1221"/>
      <c r="S207" s="264"/>
      <c r="T207" s="264"/>
      <c r="U207" s="264"/>
      <c r="V207" s="264"/>
      <c r="W207" s="1222"/>
      <c r="Y207" s="1191"/>
      <c r="Z207" s="1191"/>
      <c r="AA207" s="1191"/>
      <c r="AB207" s="1191"/>
      <c r="AC207" s="1191"/>
      <c r="AD207" s="1191"/>
      <c r="AE207" s="1191"/>
      <c r="AF207" s="1191"/>
      <c r="AG207" s="1191"/>
      <c r="AH207" s="1191"/>
      <c r="AI207" s="1191"/>
      <c r="AJ207" s="1191"/>
      <c r="AK207" s="1191"/>
      <c r="AL207" s="1191"/>
      <c r="AM207" s="1191"/>
      <c r="AN207" s="1191"/>
      <c r="AO207" s="1191"/>
      <c r="AP207" s="1191"/>
      <c r="AQ207" s="1191"/>
      <c r="AR207" s="1391">
        <v>0</v>
      </c>
    </row>
    <row r="208" spans="1:44" s="1748" customFormat="1" ht="17.25" hidden="1" customHeight="1">
      <c r="A208" s="256"/>
      <c r="C208" s="255"/>
      <c r="D208" s="3922"/>
      <c r="E208" s="3911"/>
      <c r="F208" s="3925"/>
      <c r="G208" s="3911"/>
      <c r="H208" s="3914"/>
      <c r="I208" s="3916"/>
      <c r="J208" s="3919"/>
      <c r="K208" s="3910"/>
      <c r="L208" s="1221"/>
      <c r="M208" s="1221"/>
      <c r="N208" s="1221"/>
      <c r="O208" s="1221"/>
      <c r="P208" s="1221"/>
      <c r="Q208" s="1221"/>
      <c r="R208" s="1221"/>
      <c r="S208" s="264"/>
      <c r="T208" s="264"/>
      <c r="U208" s="264"/>
      <c r="V208" s="264"/>
      <c r="W208" s="1222"/>
      <c r="Y208" s="1183"/>
      <c r="Z208" s="1183"/>
      <c r="AA208" s="1183"/>
      <c r="AB208" s="1183"/>
      <c r="AC208" s="1183"/>
      <c r="AD208" s="1183"/>
      <c r="AE208" s="1183"/>
      <c r="AF208" s="1183"/>
      <c r="AG208" s="1183"/>
      <c r="AH208" s="1183"/>
      <c r="AI208" s="1183"/>
      <c r="AJ208" s="1183"/>
      <c r="AK208" s="1183"/>
      <c r="AL208" s="1183"/>
      <c r="AM208" s="1183"/>
      <c r="AN208" s="1183"/>
      <c r="AO208" s="1183"/>
      <c r="AP208" s="1183"/>
      <c r="AQ208" s="1183"/>
      <c r="AR208" s="1391">
        <v>0</v>
      </c>
    </row>
    <row r="209" spans="1:44" s="1748" customFormat="1" ht="17.25" hidden="1" customHeight="1">
      <c r="A209" s="256"/>
      <c r="C209" s="255"/>
      <c r="D209" s="3923"/>
      <c r="E209" s="3912"/>
      <c r="F209" s="3926"/>
      <c r="G209" s="3912"/>
      <c r="H209" s="1223"/>
      <c r="I209" s="1224"/>
      <c r="J209" s="1224"/>
      <c r="K209" s="1224"/>
      <c r="L209" s="1224"/>
      <c r="M209" s="1224"/>
      <c r="N209" s="1224"/>
      <c r="O209" s="1224"/>
      <c r="P209" s="1224"/>
      <c r="Q209" s="1224"/>
      <c r="R209" s="1224"/>
      <c r="S209" s="1225"/>
      <c r="T209" s="1225"/>
      <c r="U209" s="1225"/>
      <c r="V209" s="1225"/>
      <c r="W209" s="1226"/>
      <c r="Y209" s="1183"/>
      <c r="Z209" s="1183"/>
      <c r="AA209" s="1183"/>
      <c r="AB209" s="1183"/>
      <c r="AC209" s="1183"/>
      <c r="AD209" s="1183"/>
      <c r="AE209" s="1183"/>
      <c r="AF209" s="1183"/>
      <c r="AG209" s="1183"/>
      <c r="AH209" s="1183"/>
      <c r="AI209" s="1183"/>
      <c r="AJ209" s="1183"/>
      <c r="AK209" s="1183"/>
      <c r="AL209" s="1183"/>
      <c r="AM209" s="1183"/>
      <c r="AN209" s="1183"/>
      <c r="AO209" s="1183"/>
      <c r="AP209" s="1183"/>
      <c r="AQ209" s="1183"/>
      <c r="AR209" s="1391">
        <v>0</v>
      </c>
    </row>
    <row r="210" spans="1:44" s="1748" customFormat="1" ht="17.25" hidden="1" customHeight="1">
      <c r="A210" s="256"/>
      <c r="C210" s="144"/>
      <c r="D210" s="3922">
        <v>2</v>
      </c>
      <c r="E210" s="3911" t="s">
        <v>462</v>
      </c>
      <c r="F210" s="3924" t="s">
        <v>6</v>
      </c>
      <c r="G210" s="3911"/>
      <c r="H210" s="3913"/>
      <c r="I210" s="3915"/>
      <c r="J210" s="3917"/>
      <c r="K210" s="3909"/>
      <c r="L210" s="3909"/>
      <c r="M210" s="3909"/>
      <c r="N210" s="3920"/>
      <c r="O210" s="3909"/>
      <c r="P210" s="3909"/>
      <c r="Q210" s="3909"/>
      <c r="R210" s="3907"/>
      <c r="S210" s="3909"/>
      <c r="T210" s="1394"/>
      <c r="U210" s="1394"/>
      <c r="V210" s="1396"/>
      <c r="W210" s="1220"/>
      <c r="X210" s="1191"/>
      <c r="Y210" s="1191"/>
      <c r="Z210" s="1191"/>
      <c r="AA210" s="1191"/>
      <c r="AB210" s="1191"/>
      <c r="AC210" s="1191" t="s">
        <v>463</v>
      </c>
      <c r="AD210" s="1191" t="s">
        <v>464</v>
      </c>
      <c r="AE210" s="1191" t="s">
        <v>465</v>
      </c>
      <c r="AF210" s="1191" t="s">
        <v>466</v>
      </c>
      <c r="AG210" s="1191"/>
      <c r="AH210" s="1191" t="str">
        <f>IF($E$210=0,"",$E$210)</f>
        <v>Тариф на транспортировку горячей воды</v>
      </c>
      <c r="AI210" s="1191" t="str">
        <f>IF($G$210=0,"",$G$210)</f>
        <v/>
      </c>
      <c r="AJ210" s="1191" t="str">
        <f>IF($J$210=0,"",$J$210)</f>
        <v/>
      </c>
      <c r="AK210" s="1191" t="str">
        <f>IF($K$210="нет","без дифференциации",IF($N$210=0,"",$N$210))</f>
        <v/>
      </c>
      <c r="AL210" s="1191" t="str">
        <f>IF($O$210="нет","без дифференциации",IF($R$210=0,"",$R$210))</f>
        <v/>
      </c>
      <c r="AM210" s="1191" t="str">
        <f>IF($S$210="нет","без дифференциации",IF($V$210=0,"",$V$210))</f>
        <v/>
      </c>
      <c r="AN210" s="1668">
        <f>$I$210</f>
        <v>0</v>
      </c>
      <c r="AO210" s="1191" t="str">
        <f>$I$210&amp;"."&amp;$M$210</f>
        <v>.</v>
      </c>
      <c r="AP210" s="1183" t="str">
        <f>$I$210&amp;"."&amp;$M$210&amp;"."&amp;$Q$210</f>
        <v>..</v>
      </c>
      <c r="AQ210" s="1183" t="str">
        <f>$I$210&amp;"."&amp;$M$210&amp;"."&amp;$Q$210&amp;"."&amp;$U$210</f>
        <v>...</v>
      </c>
      <c r="AR210" s="1391">
        <v>0</v>
      </c>
    </row>
    <row r="211" spans="1:44" s="1748" customFormat="1" ht="17.25" hidden="1" customHeight="1">
      <c r="A211" s="256"/>
      <c r="C211" s="255"/>
      <c r="D211" s="3922"/>
      <c r="E211" s="3911"/>
      <c r="F211" s="3925"/>
      <c r="G211" s="3911"/>
      <c r="H211" s="3914"/>
      <c r="I211" s="3916"/>
      <c r="J211" s="3918"/>
      <c r="K211" s="3910"/>
      <c r="L211" s="3910"/>
      <c r="M211" s="3910"/>
      <c r="N211" s="3921"/>
      <c r="O211" s="3910"/>
      <c r="P211" s="3910"/>
      <c r="Q211" s="3910"/>
      <c r="R211" s="3908"/>
      <c r="S211" s="3910"/>
      <c r="T211" s="1221"/>
      <c r="U211" s="1221"/>
      <c r="V211" s="1221"/>
      <c r="W211" s="1222"/>
      <c r="X211" s="1183"/>
      <c r="Y211" s="1183"/>
      <c r="Z211" s="1183"/>
      <c r="AA211" s="1183"/>
      <c r="AB211" s="1183"/>
      <c r="AC211" s="1183"/>
      <c r="AD211" s="1183"/>
      <c r="AE211" s="1183"/>
      <c r="AF211" s="1183"/>
      <c r="AG211" s="1183"/>
      <c r="AH211" s="1183"/>
      <c r="AI211" s="1183"/>
      <c r="AJ211" s="1183"/>
      <c r="AK211" s="1183"/>
      <c r="AL211" s="1183"/>
      <c r="AM211" s="1183"/>
      <c r="AN211" s="1183"/>
      <c r="AO211" s="1183"/>
      <c r="AP211" s="1183"/>
      <c r="AQ211" s="1183"/>
      <c r="AR211" s="1391">
        <v>0</v>
      </c>
    </row>
    <row r="212" spans="1:44" s="1748" customFormat="1" ht="17.25" hidden="1" customHeight="1">
      <c r="A212" s="256"/>
      <c r="C212" s="255"/>
      <c r="D212" s="3923"/>
      <c r="E212" s="3912"/>
      <c r="F212" s="3925"/>
      <c r="G212" s="3912"/>
      <c r="H212" s="3914"/>
      <c r="I212" s="3916"/>
      <c r="J212" s="3919"/>
      <c r="K212" s="3910"/>
      <c r="L212" s="3910"/>
      <c r="M212" s="3910"/>
      <c r="N212" s="3908"/>
      <c r="O212" s="3910"/>
      <c r="P212" s="1395"/>
      <c r="Q212" s="1221"/>
      <c r="R212" s="1221"/>
      <c r="S212" s="264"/>
      <c r="T212" s="264"/>
      <c r="U212" s="264"/>
      <c r="V212" s="264"/>
      <c r="W212" s="1222"/>
      <c r="X212" s="1183"/>
      <c r="Y212" s="1183"/>
      <c r="Z212" s="1183"/>
      <c r="AA212" s="1183"/>
      <c r="AB212" s="1183"/>
      <c r="AC212" s="1183"/>
      <c r="AD212" s="1183"/>
      <c r="AE212" s="1183"/>
      <c r="AF212" s="1183"/>
      <c r="AG212" s="1183"/>
      <c r="AH212" s="1183"/>
      <c r="AI212" s="1183"/>
      <c r="AJ212" s="1183"/>
      <c r="AK212" s="1183"/>
      <c r="AL212" s="1183"/>
      <c r="AM212" s="1183"/>
      <c r="AN212" s="1183"/>
      <c r="AO212" s="1183"/>
      <c r="AP212" s="1183"/>
      <c r="AQ212" s="1183"/>
      <c r="AR212" s="1391">
        <v>0</v>
      </c>
    </row>
    <row r="213" spans="1:44" s="1748" customFormat="1" ht="17.25" hidden="1" customHeight="1">
      <c r="A213" s="256"/>
      <c r="C213" s="255"/>
      <c r="D213" s="3923"/>
      <c r="E213" s="3912"/>
      <c r="F213" s="3925"/>
      <c r="G213" s="3912"/>
      <c r="H213" s="3914"/>
      <c r="I213" s="3916"/>
      <c r="J213" s="3919"/>
      <c r="K213" s="3910"/>
      <c r="L213" s="1221"/>
      <c r="M213" s="1221"/>
      <c r="N213" s="1221"/>
      <c r="O213" s="1221"/>
      <c r="P213" s="1221"/>
      <c r="Q213" s="1221"/>
      <c r="R213" s="1221"/>
      <c r="S213" s="264"/>
      <c r="T213" s="264"/>
      <c r="U213" s="264"/>
      <c r="V213" s="264"/>
      <c r="W213" s="1222"/>
      <c r="X213" s="1183"/>
      <c r="Y213" s="1183"/>
      <c r="Z213" s="1183"/>
      <c r="AA213" s="1183"/>
      <c r="AB213" s="1183"/>
      <c r="AC213" s="1183"/>
      <c r="AD213" s="1183"/>
      <c r="AE213" s="1183"/>
      <c r="AF213" s="1183"/>
      <c r="AG213" s="1183"/>
      <c r="AH213" s="1183"/>
      <c r="AI213" s="1183"/>
      <c r="AJ213" s="1183"/>
      <c r="AK213" s="1183"/>
      <c r="AL213" s="1183"/>
      <c r="AM213" s="1183"/>
      <c r="AN213" s="1183"/>
      <c r="AO213" s="1183"/>
      <c r="AP213" s="1183"/>
      <c r="AQ213" s="1183"/>
      <c r="AR213" s="1391">
        <v>0</v>
      </c>
    </row>
    <row r="214" spans="1:44" s="1748" customFormat="1" ht="17.25" hidden="1" customHeight="1">
      <c r="A214" s="256"/>
      <c r="C214" s="255"/>
      <c r="D214" s="3923"/>
      <c r="E214" s="3912"/>
      <c r="F214" s="3926"/>
      <c r="G214" s="3912"/>
      <c r="H214" s="1223"/>
      <c r="I214" s="1224"/>
      <c r="J214" s="1224"/>
      <c r="K214" s="1224"/>
      <c r="L214" s="1224"/>
      <c r="M214" s="1224"/>
      <c r="N214" s="1224"/>
      <c r="O214" s="1224"/>
      <c r="P214" s="1224"/>
      <c r="Q214" s="1224"/>
      <c r="R214" s="1224"/>
      <c r="S214" s="1225"/>
      <c r="T214" s="1225"/>
      <c r="U214" s="1225"/>
      <c r="V214" s="1225"/>
      <c r="W214" s="1226"/>
      <c r="X214" s="1183"/>
      <c r="Y214" s="1183"/>
      <c r="Z214" s="1183"/>
      <c r="AA214" s="1183"/>
      <c r="AB214" s="1183"/>
      <c r="AC214" s="1183"/>
      <c r="AD214" s="1183"/>
      <c r="AE214" s="1183"/>
      <c r="AF214" s="1183"/>
      <c r="AG214" s="1183"/>
      <c r="AH214" s="1183"/>
      <c r="AI214" s="1183"/>
      <c r="AJ214" s="1183"/>
      <c r="AK214" s="1183"/>
      <c r="AL214" s="1183"/>
      <c r="AM214" s="1183"/>
      <c r="AN214" s="1183"/>
      <c r="AO214" s="1183"/>
      <c r="AP214" s="1183"/>
      <c r="AQ214" s="1183"/>
      <c r="AR214" s="1391">
        <v>0</v>
      </c>
    </row>
    <row r="215" spans="1:44" s="1748" customFormat="1" ht="17.25" hidden="1" customHeight="1">
      <c r="A215" s="256"/>
      <c r="C215" s="144"/>
      <c r="D215" s="3922">
        <v>3</v>
      </c>
      <c r="E215" s="3911" t="s">
        <v>467</v>
      </c>
      <c r="F215" s="3924" t="s">
        <v>6</v>
      </c>
      <c r="G215" s="3911"/>
      <c r="H215" s="3913"/>
      <c r="I215" s="3915"/>
      <c r="J215" s="3917"/>
      <c r="K215" s="3909"/>
      <c r="L215" s="3909"/>
      <c r="M215" s="3909"/>
      <c r="N215" s="3920"/>
      <c r="O215" s="3909"/>
      <c r="P215" s="3909"/>
      <c r="Q215" s="3909"/>
      <c r="R215" s="3907"/>
      <c r="S215" s="3909"/>
      <c r="T215" s="1835"/>
      <c r="U215" s="1835"/>
      <c r="V215" s="1837"/>
      <c r="W215" s="1220"/>
      <c r="X215" s="1191"/>
      <c r="Y215" s="1191"/>
      <c r="Z215" s="1191"/>
      <c r="AA215" s="1191"/>
      <c r="AB215" s="1191"/>
      <c r="AC215" s="1191" t="s">
        <v>468</v>
      </c>
      <c r="AD215" s="1191" t="s">
        <v>469</v>
      </c>
      <c r="AE215" s="1191" t="s">
        <v>470</v>
      </c>
      <c r="AF215" s="1191" t="s">
        <v>471</v>
      </c>
      <c r="AG215" s="1191"/>
      <c r="AH215" s="1191" t="str">
        <f>IF($E$215=0,"",$E$215)</f>
        <v>Тариф на подключение (технологическое присоединение) к централизованной системе горячего водоснабжения</v>
      </c>
      <c r="AI215" s="1191" t="str">
        <f>IF($G$215=0,"",$G$215)</f>
        <v/>
      </c>
      <c r="AJ215" s="1191" t="str">
        <f>IF($J$215=0,"",$J$215)</f>
        <v/>
      </c>
      <c r="AK215" s="1191" t="str">
        <f>IF($K$215="нет","без дифференциации",IF($N$215=0,"",$N$215))</f>
        <v/>
      </c>
      <c r="AL215" s="1191" t="str">
        <f>IF($O$215="нет","без дифференциации",IF($R$215=0,"",$R$215))</f>
        <v/>
      </c>
      <c r="AM215" s="1191" t="str">
        <f>IF($S$215="нет","без дифференциации",IF($V$215=0,"",$V$215))</f>
        <v/>
      </c>
      <c r="AN215" s="1668">
        <f>$I$215</f>
        <v>0</v>
      </c>
      <c r="AO215" s="1191" t="str">
        <f>$I$215&amp;"."&amp;$M$215</f>
        <v>.</v>
      </c>
      <c r="AP215" s="1190" t="str">
        <f>$I$215&amp;"."&amp;$M$215&amp;"."&amp;$Q$215</f>
        <v>..</v>
      </c>
      <c r="AQ215" s="1190" t="str">
        <f>$I$215&amp;"."&amp;$M$215&amp;"."&amp;$Q$215&amp;"."&amp;$U$215</f>
        <v>...</v>
      </c>
      <c r="AR215" s="1391">
        <v>0</v>
      </c>
    </row>
    <row r="216" spans="1:44" s="1748" customFormat="1" ht="17.25" hidden="1" customHeight="1">
      <c r="A216" s="256"/>
      <c r="C216" s="255"/>
      <c r="D216" s="3922"/>
      <c r="E216" s="3911"/>
      <c r="F216" s="3925"/>
      <c r="G216" s="3911"/>
      <c r="H216" s="3914"/>
      <c r="I216" s="3916"/>
      <c r="J216" s="3918"/>
      <c r="K216" s="3910"/>
      <c r="L216" s="3910"/>
      <c r="M216" s="3910"/>
      <c r="N216" s="3921"/>
      <c r="O216" s="3910"/>
      <c r="P216" s="3910"/>
      <c r="Q216" s="3910"/>
      <c r="R216" s="3908"/>
      <c r="S216" s="3910"/>
      <c r="T216" s="1840"/>
      <c r="U216" s="1840"/>
      <c r="V216" s="1840"/>
      <c r="W216" s="1841"/>
      <c r="X216" s="1190"/>
      <c r="Y216" s="1190"/>
      <c r="Z216" s="1190"/>
      <c r="AA216" s="1190"/>
      <c r="AB216" s="1190"/>
      <c r="AC216" s="1190"/>
      <c r="AD216" s="1190"/>
      <c r="AE216" s="1190"/>
      <c r="AF216" s="1190"/>
      <c r="AG216" s="1190"/>
      <c r="AH216" s="1190"/>
      <c r="AI216" s="1190"/>
      <c r="AJ216" s="1190"/>
      <c r="AK216" s="1190"/>
      <c r="AL216" s="1190"/>
      <c r="AM216" s="1190"/>
      <c r="AN216" s="1190"/>
      <c r="AO216" s="1190"/>
      <c r="AP216" s="1190"/>
      <c r="AQ216" s="1190"/>
      <c r="AR216" s="1391">
        <v>0</v>
      </c>
    </row>
    <row r="217" spans="1:44" s="1748" customFormat="1" ht="17.25" hidden="1" customHeight="1">
      <c r="A217" s="256"/>
      <c r="C217" s="255"/>
      <c r="D217" s="3923"/>
      <c r="E217" s="3912"/>
      <c r="F217" s="3925"/>
      <c r="G217" s="3912"/>
      <c r="H217" s="3914"/>
      <c r="I217" s="3916"/>
      <c r="J217" s="3919"/>
      <c r="K217" s="3910"/>
      <c r="L217" s="3910"/>
      <c r="M217" s="3910"/>
      <c r="N217" s="3908"/>
      <c r="O217" s="3910"/>
      <c r="P217" s="1836"/>
      <c r="Q217" s="1840"/>
      <c r="R217" s="1840"/>
      <c r="S217" s="264"/>
      <c r="T217" s="264"/>
      <c r="U217" s="264"/>
      <c r="V217" s="264"/>
      <c r="W217" s="1841"/>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391">
        <v>0</v>
      </c>
    </row>
    <row r="218" spans="1:44" s="1748" customFormat="1" ht="17.25" hidden="1" customHeight="1">
      <c r="A218" s="256"/>
      <c r="C218" s="255"/>
      <c r="D218" s="3923"/>
      <c r="E218" s="3912"/>
      <c r="F218" s="3925"/>
      <c r="G218" s="3912"/>
      <c r="H218" s="3914"/>
      <c r="I218" s="3916"/>
      <c r="J218" s="3919"/>
      <c r="K218" s="3910"/>
      <c r="L218" s="1840"/>
      <c r="M218" s="1840"/>
      <c r="N218" s="1840"/>
      <c r="O218" s="1840"/>
      <c r="P218" s="1840"/>
      <c r="Q218" s="1840"/>
      <c r="R218" s="1840"/>
      <c r="S218" s="264"/>
      <c r="T218" s="264"/>
      <c r="U218" s="264"/>
      <c r="V218" s="264"/>
      <c r="W218" s="1841"/>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391">
        <v>0</v>
      </c>
    </row>
    <row r="219" spans="1:44" s="1748" customFormat="1" ht="17.25" hidden="1" customHeight="1">
      <c r="A219" s="256"/>
      <c r="C219" s="255"/>
      <c r="D219" s="3923"/>
      <c r="E219" s="3912"/>
      <c r="F219" s="3926"/>
      <c r="G219" s="3912"/>
      <c r="H219" s="1223"/>
      <c r="I219" s="1838"/>
      <c r="J219" s="1838"/>
      <c r="K219" s="1838"/>
      <c r="L219" s="1838"/>
      <c r="M219" s="1838"/>
      <c r="N219" s="1838"/>
      <c r="O219" s="1838"/>
      <c r="P219" s="1838"/>
      <c r="Q219" s="1838"/>
      <c r="R219" s="1838"/>
      <c r="S219" s="1225"/>
      <c r="T219" s="1225"/>
      <c r="U219" s="1225"/>
      <c r="V219" s="1225"/>
      <c r="W219" s="1839"/>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391">
        <v>0</v>
      </c>
    </row>
    <row r="220" spans="1:44" s="1748" customFormat="1" ht="11.25" hidden="1" customHeight="1">
      <c r="A220" s="212"/>
      <c r="B220" s="212"/>
      <c r="Y220" s="1183"/>
      <c r="Z220" s="1183"/>
      <c r="AA220" s="1183"/>
      <c r="AB220" s="1183"/>
      <c r="AC220" s="1183"/>
      <c r="AD220" s="1183"/>
      <c r="AE220" s="1183"/>
      <c r="AF220" s="1183"/>
      <c r="AG220" s="1183"/>
      <c r="AH220" s="1183"/>
      <c r="AI220" s="1183"/>
      <c r="AJ220" s="1183"/>
      <c r="AK220" s="1183"/>
      <c r="AL220" s="1183"/>
      <c r="AM220" s="1183"/>
      <c r="AN220" s="1183"/>
      <c r="AO220" s="1183"/>
      <c r="AP220" s="1183"/>
      <c r="AQ220" s="1183"/>
      <c r="AR220" s="1391">
        <v>0</v>
      </c>
    </row>
    <row r="221" spans="1:44" s="1748" customFormat="1" ht="17.25" hidden="1" customHeight="1">
      <c r="A221" s="256"/>
      <c r="C221" s="144"/>
      <c r="D221" s="3922">
        <v>1</v>
      </c>
      <c r="E221" s="3911" t="s">
        <v>472</v>
      </c>
      <c r="F221" s="3924" t="s">
        <v>6</v>
      </c>
      <c r="G221" s="3911"/>
      <c r="H221" s="3913"/>
      <c r="I221" s="3915"/>
      <c r="J221" s="3917"/>
      <c r="K221" s="3909"/>
      <c r="L221" s="3909"/>
      <c r="M221" s="3909"/>
      <c r="N221" s="3920"/>
      <c r="O221" s="3909"/>
      <c r="P221" s="3909"/>
      <c r="Q221" s="3909"/>
      <c r="R221" s="3907"/>
      <c r="S221" s="3909"/>
      <c r="T221" s="1394"/>
      <c r="U221" s="1394"/>
      <c r="V221" s="1396"/>
      <c r="W221" s="1220"/>
      <c r="Y221" s="1191"/>
      <c r="Z221" s="1191"/>
      <c r="AA221" s="1191"/>
      <c r="AB221" s="1191"/>
      <c r="AC221" s="1191" t="s">
        <v>473</v>
      </c>
      <c r="AD221" s="1191" t="s">
        <v>474</v>
      </c>
      <c r="AE221" s="1191" t="s">
        <v>475</v>
      </c>
      <c r="AF221" s="1191" t="s">
        <v>476</v>
      </c>
      <c r="AG221" s="1191"/>
      <c r="AH221" s="1191" t="str">
        <f>IF($E$221=0,"",$E$221)</f>
        <v>Тариф на водоотведение</v>
      </c>
      <c r="AI221" s="1191" t="str">
        <f>IF($G$221=0,"",$G$221)</f>
        <v/>
      </c>
      <c r="AJ221" s="1191" t="str">
        <f>IF($J$221=0,"",$J$221)</f>
        <v/>
      </c>
      <c r="AK221" s="1191" t="str">
        <f>IF($K$221="нет","без дифференциации",IF($N$221=0,"",$N$221))</f>
        <v/>
      </c>
      <c r="AL221" s="1191" t="str">
        <f>IF($O$221="нет","без дифференциации",IF($R$221=0,"",$R$221))</f>
        <v/>
      </c>
      <c r="AM221" s="1191" t="str">
        <f>IF($S$221="нет","без дифференциации",IF($V$221=0,"",$V$221))</f>
        <v/>
      </c>
      <c r="AN221" s="1191">
        <f>$I$221</f>
        <v>0</v>
      </c>
      <c r="AO221" s="1191" t="str">
        <f>$I$221&amp;"."&amp;$M$221</f>
        <v>.</v>
      </c>
      <c r="AP221" s="1191" t="str">
        <f>$I$221&amp;"."&amp;$M$221&amp;"."&amp;$Q$221</f>
        <v>..</v>
      </c>
      <c r="AQ221" s="1191" t="str">
        <f>$I$221&amp;"."&amp;$M$221&amp;"."&amp;$Q$221&amp;"."&amp;$U$221</f>
        <v>...</v>
      </c>
      <c r="AR221" s="1391">
        <v>0</v>
      </c>
    </row>
    <row r="222" spans="1:44" s="1748" customFormat="1" ht="17.25" hidden="1" customHeight="1">
      <c r="A222" s="256"/>
      <c r="C222" s="255"/>
      <c r="D222" s="3922"/>
      <c r="E222" s="3911"/>
      <c r="F222" s="3925"/>
      <c r="G222" s="3911"/>
      <c r="H222" s="3914"/>
      <c r="I222" s="3916"/>
      <c r="J222" s="3918"/>
      <c r="K222" s="3910"/>
      <c r="L222" s="3910"/>
      <c r="M222" s="3910"/>
      <c r="N222" s="3921"/>
      <c r="O222" s="3910"/>
      <c r="P222" s="3910"/>
      <c r="Q222" s="3910"/>
      <c r="R222" s="3908"/>
      <c r="S222" s="3910"/>
      <c r="T222" s="1221"/>
      <c r="U222" s="1221"/>
      <c r="V222" s="1221"/>
      <c r="W222" s="1222"/>
      <c r="Y222" s="1183"/>
      <c r="Z222" s="1183"/>
      <c r="AA222" s="1183"/>
      <c r="AB222" s="1183"/>
      <c r="AC222" s="1183"/>
      <c r="AD222" s="1183"/>
      <c r="AE222" s="1183"/>
      <c r="AF222" s="1183"/>
      <c r="AG222" s="1183"/>
      <c r="AH222" s="1183"/>
      <c r="AI222" s="1183"/>
      <c r="AJ222" s="1183"/>
      <c r="AK222" s="1183"/>
      <c r="AL222" s="1183"/>
      <c r="AM222" s="1183"/>
      <c r="AN222" s="1183"/>
      <c r="AO222" s="1183"/>
      <c r="AP222" s="1183"/>
      <c r="AQ222" s="1183"/>
      <c r="AR222" s="1391">
        <v>0</v>
      </c>
    </row>
    <row r="223" spans="1:44" s="1748" customFormat="1" ht="17.25" hidden="1" customHeight="1">
      <c r="A223" s="256"/>
      <c r="C223" s="144"/>
      <c r="D223" s="3922"/>
      <c r="E223" s="3911"/>
      <c r="F223" s="3925"/>
      <c r="G223" s="3911"/>
      <c r="H223" s="3914"/>
      <c r="I223" s="3916"/>
      <c r="J223" s="3919"/>
      <c r="K223" s="3910"/>
      <c r="L223" s="3910"/>
      <c r="M223" s="3910"/>
      <c r="N223" s="3908"/>
      <c r="O223" s="3910"/>
      <c r="P223" s="1395"/>
      <c r="Q223" s="1221"/>
      <c r="R223" s="1221"/>
      <c r="S223" s="264"/>
      <c r="T223" s="264"/>
      <c r="U223" s="264"/>
      <c r="V223" s="264"/>
      <c r="W223" s="1222"/>
      <c r="Y223" s="1191"/>
      <c r="Z223" s="1191"/>
      <c r="AA223" s="1191"/>
      <c r="AB223" s="1191"/>
      <c r="AC223" s="1191"/>
      <c r="AD223" s="1191"/>
      <c r="AE223" s="1191"/>
      <c r="AF223" s="1191"/>
      <c r="AG223" s="1191"/>
      <c r="AH223" s="1191"/>
      <c r="AI223" s="1191"/>
      <c r="AJ223" s="1191"/>
      <c r="AK223" s="1191"/>
      <c r="AL223" s="1191"/>
      <c r="AM223" s="1191"/>
      <c r="AN223" s="1191"/>
      <c r="AO223" s="1191"/>
      <c r="AP223" s="1191"/>
      <c r="AQ223" s="1191"/>
      <c r="AR223" s="1391">
        <v>0</v>
      </c>
    </row>
    <row r="224" spans="1:44" s="1748" customFormat="1" ht="17.25" hidden="1" customHeight="1">
      <c r="A224" s="256"/>
      <c r="C224" s="255"/>
      <c r="D224" s="3922"/>
      <c r="E224" s="3911"/>
      <c r="F224" s="3925"/>
      <c r="G224" s="3911"/>
      <c r="H224" s="3914"/>
      <c r="I224" s="3916"/>
      <c r="J224" s="3919"/>
      <c r="K224" s="3910"/>
      <c r="L224" s="1221"/>
      <c r="M224" s="1221"/>
      <c r="N224" s="1221"/>
      <c r="O224" s="1221"/>
      <c r="P224" s="1221"/>
      <c r="Q224" s="1221"/>
      <c r="R224" s="1221"/>
      <c r="S224" s="264"/>
      <c r="T224" s="264"/>
      <c r="U224" s="264"/>
      <c r="V224" s="264"/>
      <c r="W224" s="1222"/>
      <c r="Y224" s="1183"/>
      <c r="Z224" s="1183"/>
      <c r="AA224" s="1183"/>
      <c r="AB224" s="1183"/>
      <c r="AC224" s="1183"/>
      <c r="AD224" s="1183"/>
      <c r="AE224" s="1183"/>
      <c r="AF224" s="1183"/>
      <c r="AG224" s="1183"/>
      <c r="AH224" s="1183"/>
      <c r="AI224" s="1183"/>
      <c r="AJ224" s="1183"/>
      <c r="AK224" s="1183"/>
      <c r="AL224" s="1183"/>
      <c r="AM224" s="1183"/>
      <c r="AN224" s="1183"/>
      <c r="AO224" s="1183"/>
      <c r="AP224" s="1183"/>
      <c r="AQ224" s="1183"/>
      <c r="AR224" s="1391">
        <v>0</v>
      </c>
    </row>
    <row r="225" spans="1:44" s="1748" customFormat="1" ht="17.25" hidden="1" customHeight="1">
      <c r="A225" s="256"/>
      <c r="C225" s="255"/>
      <c r="D225" s="3923"/>
      <c r="E225" s="3912"/>
      <c r="F225" s="3926"/>
      <c r="G225" s="3912"/>
      <c r="H225" s="1223"/>
      <c r="I225" s="1224"/>
      <c r="J225" s="1224"/>
      <c r="K225" s="1224"/>
      <c r="L225" s="1224"/>
      <c r="M225" s="1224"/>
      <c r="N225" s="1224"/>
      <c r="O225" s="1224"/>
      <c r="P225" s="1224"/>
      <c r="Q225" s="1224"/>
      <c r="R225" s="1224"/>
      <c r="S225" s="1225"/>
      <c r="T225" s="1225"/>
      <c r="U225" s="1225"/>
      <c r="V225" s="1225"/>
      <c r="W225" s="1226"/>
      <c r="Y225" s="1183"/>
      <c r="Z225" s="1183"/>
      <c r="AA225" s="1183"/>
      <c r="AB225" s="1183"/>
      <c r="AC225" s="1183"/>
      <c r="AD225" s="1183"/>
      <c r="AE225" s="1183"/>
      <c r="AF225" s="1183"/>
      <c r="AG225" s="1183"/>
      <c r="AH225" s="1183"/>
      <c r="AI225" s="1183"/>
      <c r="AJ225" s="1183"/>
      <c r="AK225" s="1183"/>
      <c r="AL225" s="1183"/>
      <c r="AM225" s="1183"/>
      <c r="AN225" s="1183"/>
      <c r="AO225" s="1183"/>
      <c r="AP225" s="1183"/>
      <c r="AQ225" s="1183"/>
      <c r="AR225" s="1391">
        <v>0</v>
      </c>
    </row>
    <row r="226" spans="1:44" s="1748" customFormat="1" ht="17.25" hidden="1" customHeight="1">
      <c r="A226" s="256"/>
      <c r="C226" s="144"/>
      <c r="D226" s="3922">
        <v>2</v>
      </c>
      <c r="E226" s="3911" t="s">
        <v>477</v>
      </c>
      <c r="F226" s="3924" t="s">
        <v>6</v>
      </c>
      <c r="G226" s="3911"/>
      <c r="H226" s="3913"/>
      <c r="I226" s="3915"/>
      <c r="J226" s="3917"/>
      <c r="K226" s="3909"/>
      <c r="L226" s="3909"/>
      <c r="M226" s="3909"/>
      <c r="N226" s="3920"/>
      <c r="O226" s="3909"/>
      <c r="P226" s="3909"/>
      <c r="Q226" s="3909"/>
      <c r="R226" s="3907"/>
      <c r="S226" s="3909"/>
      <c r="T226" s="1394"/>
      <c r="U226" s="1394"/>
      <c r="V226" s="1396"/>
      <c r="W226" s="1220"/>
      <c r="X226" s="1191"/>
      <c r="Y226" s="1191"/>
      <c r="Z226" s="1191"/>
      <c r="AA226" s="1191"/>
      <c r="AB226" s="1191"/>
      <c r="AC226" s="1191" t="s">
        <v>478</v>
      </c>
      <c r="AD226" s="1191" t="s">
        <v>479</v>
      </c>
      <c r="AE226" s="1191" t="s">
        <v>480</v>
      </c>
      <c r="AF226" s="1191" t="s">
        <v>481</v>
      </c>
      <c r="AG226" s="1191"/>
      <c r="AH226" s="1191" t="str">
        <f>IF($E$226=0,"",$E$226)</f>
        <v>Тариф на транспортировку сточных вод</v>
      </c>
      <c r="AI226" s="1191" t="str">
        <f>IF($G$226=0,"",$G$226)</f>
        <v/>
      </c>
      <c r="AJ226" s="1191" t="str">
        <f>IF($J$226=0,"",$J$226)</f>
        <v/>
      </c>
      <c r="AK226" s="1191" t="str">
        <f>IF($K$226="нет","без дифференциации",IF($N$226=0,"",$N$226))</f>
        <v/>
      </c>
      <c r="AL226" s="1191" t="str">
        <f>IF($O$226="нет","без дифференциации",IF($R$226=0,"",$R$226))</f>
        <v/>
      </c>
      <c r="AM226" s="1191" t="str">
        <f>IF($S$226="нет","без дифференциации",IF($V$226=0,"",$V$226))</f>
        <v/>
      </c>
      <c r="AN226" s="1668">
        <f>$I$226</f>
        <v>0</v>
      </c>
      <c r="AO226" s="1191" t="str">
        <f>$I$226&amp;"."&amp;$M$226</f>
        <v>.</v>
      </c>
      <c r="AP226" s="1183" t="str">
        <f>$I$226&amp;"."&amp;$M$226&amp;"."&amp;$Q$226</f>
        <v>..</v>
      </c>
      <c r="AQ226" s="1183" t="str">
        <f>$I$226&amp;"."&amp;$M$226&amp;"."&amp;$Q$226&amp;"."&amp;$U$226</f>
        <v>...</v>
      </c>
      <c r="AR226" s="1391">
        <v>0</v>
      </c>
    </row>
    <row r="227" spans="1:44" s="1748" customFormat="1" ht="17.25" hidden="1" customHeight="1">
      <c r="A227" s="256"/>
      <c r="C227" s="255"/>
      <c r="D227" s="3922"/>
      <c r="E227" s="3911"/>
      <c r="F227" s="3925"/>
      <c r="G227" s="3911"/>
      <c r="H227" s="3914"/>
      <c r="I227" s="3916"/>
      <c r="J227" s="3918"/>
      <c r="K227" s="3910"/>
      <c r="L227" s="3910"/>
      <c r="M227" s="3910"/>
      <c r="N227" s="3921"/>
      <c r="O227" s="3910"/>
      <c r="P227" s="3910"/>
      <c r="Q227" s="3910"/>
      <c r="R227" s="3908"/>
      <c r="S227" s="3910"/>
      <c r="T227" s="1221"/>
      <c r="U227" s="1221"/>
      <c r="V227" s="1221"/>
      <c r="W227" s="1222"/>
      <c r="X227" s="1183"/>
      <c r="Y227" s="1183"/>
      <c r="Z227" s="1183"/>
      <c r="AA227" s="1183"/>
      <c r="AB227" s="1183"/>
      <c r="AC227" s="1183"/>
      <c r="AD227" s="1183"/>
      <c r="AE227" s="1183"/>
      <c r="AF227" s="1183"/>
      <c r="AG227" s="1183"/>
      <c r="AH227" s="1183"/>
      <c r="AI227" s="1183"/>
      <c r="AJ227" s="1183"/>
      <c r="AK227" s="1183"/>
      <c r="AL227" s="1183"/>
      <c r="AM227" s="1183"/>
      <c r="AN227" s="1183"/>
      <c r="AO227" s="1183"/>
      <c r="AP227" s="1183"/>
      <c r="AQ227" s="1183"/>
      <c r="AR227" s="1391">
        <v>0</v>
      </c>
    </row>
    <row r="228" spans="1:44" s="1748" customFormat="1" ht="17.25" hidden="1" customHeight="1">
      <c r="A228" s="256"/>
      <c r="C228" s="255"/>
      <c r="D228" s="3923"/>
      <c r="E228" s="3912"/>
      <c r="F228" s="3925"/>
      <c r="G228" s="3912"/>
      <c r="H228" s="3914"/>
      <c r="I228" s="3916"/>
      <c r="J228" s="3919"/>
      <c r="K228" s="3910"/>
      <c r="L228" s="3910"/>
      <c r="M228" s="3910"/>
      <c r="N228" s="3908"/>
      <c r="O228" s="3910"/>
      <c r="P228" s="1395"/>
      <c r="Q228" s="1221"/>
      <c r="R228" s="1221"/>
      <c r="S228" s="264"/>
      <c r="T228" s="264"/>
      <c r="U228" s="264"/>
      <c r="V228" s="264"/>
      <c r="W228" s="1222"/>
      <c r="X228" s="1183"/>
      <c r="Y228" s="1183"/>
      <c r="Z228" s="1183"/>
      <c r="AA228" s="1183"/>
      <c r="AB228" s="1183"/>
      <c r="AC228" s="1183"/>
      <c r="AD228" s="1183"/>
      <c r="AE228" s="1183"/>
      <c r="AF228" s="1183"/>
      <c r="AG228" s="1183"/>
      <c r="AH228" s="1183"/>
      <c r="AI228" s="1183"/>
      <c r="AJ228" s="1183"/>
      <c r="AK228" s="1183"/>
      <c r="AL228" s="1183"/>
      <c r="AM228" s="1183"/>
      <c r="AN228" s="1183"/>
      <c r="AO228" s="1183"/>
      <c r="AP228" s="1183"/>
      <c r="AQ228" s="1183"/>
      <c r="AR228" s="1391">
        <v>0</v>
      </c>
    </row>
    <row r="229" spans="1:44" s="1748" customFormat="1" ht="17.25" hidden="1" customHeight="1">
      <c r="A229" s="256"/>
      <c r="C229" s="255"/>
      <c r="D229" s="3923"/>
      <c r="E229" s="3912"/>
      <c r="F229" s="3925"/>
      <c r="G229" s="3912"/>
      <c r="H229" s="3914"/>
      <c r="I229" s="3916"/>
      <c r="J229" s="3919"/>
      <c r="K229" s="3910"/>
      <c r="L229" s="1221"/>
      <c r="M229" s="1221"/>
      <c r="N229" s="1221"/>
      <c r="O229" s="1221"/>
      <c r="P229" s="1221"/>
      <c r="Q229" s="1221"/>
      <c r="R229" s="1221"/>
      <c r="S229" s="264"/>
      <c r="T229" s="264"/>
      <c r="U229" s="264"/>
      <c r="V229" s="264"/>
      <c r="W229" s="1222"/>
      <c r="X229" s="1183"/>
      <c r="Y229" s="1183"/>
      <c r="Z229" s="1183"/>
      <c r="AA229" s="1183"/>
      <c r="AB229" s="1183"/>
      <c r="AC229" s="1183"/>
      <c r="AD229" s="1183"/>
      <c r="AE229" s="1183"/>
      <c r="AF229" s="1183"/>
      <c r="AG229" s="1183"/>
      <c r="AH229" s="1183"/>
      <c r="AI229" s="1183"/>
      <c r="AJ229" s="1183"/>
      <c r="AK229" s="1183"/>
      <c r="AL229" s="1183"/>
      <c r="AM229" s="1183"/>
      <c r="AN229" s="1183"/>
      <c r="AO229" s="1183"/>
      <c r="AP229" s="1183"/>
      <c r="AQ229" s="1183"/>
      <c r="AR229" s="1391">
        <v>0</v>
      </c>
    </row>
    <row r="230" spans="1:44" s="1748" customFormat="1" ht="17.25" hidden="1" customHeight="1">
      <c r="A230" s="256"/>
      <c r="C230" s="255"/>
      <c r="D230" s="3923"/>
      <c r="E230" s="3912"/>
      <c r="F230" s="3926"/>
      <c r="G230" s="3912"/>
      <c r="H230" s="1223"/>
      <c r="I230" s="1224"/>
      <c r="J230" s="1224"/>
      <c r="K230" s="1224"/>
      <c r="L230" s="1224"/>
      <c r="M230" s="1224"/>
      <c r="N230" s="1224"/>
      <c r="O230" s="1224"/>
      <c r="P230" s="1224"/>
      <c r="Q230" s="1224"/>
      <c r="R230" s="1224"/>
      <c r="S230" s="1225"/>
      <c r="T230" s="1225"/>
      <c r="U230" s="1225"/>
      <c r="V230" s="1225"/>
      <c r="W230" s="1226"/>
      <c r="X230" s="1183"/>
      <c r="Y230" s="1183"/>
      <c r="Z230" s="1183"/>
      <c r="AA230" s="1183"/>
      <c r="AB230" s="1183"/>
      <c r="AC230" s="1183"/>
      <c r="AD230" s="1183"/>
      <c r="AE230" s="1183"/>
      <c r="AF230" s="1183"/>
      <c r="AG230" s="1183"/>
      <c r="AH230" s="1183"/>
      <c r="AI230" s="1183"/>
      <c r="AJ230" s="1183"/>
      <c r="AK230" s="1183"/>
      <c r="AL230" s="1183"/>
      <c r="AM230" s="1183"/>
      <c r="AN230" s="1183"/>
      <c r="AO230" s="1183"/>
      <c r="AP230" s="1183"/>
      <c r="AQ230" s="1183"/>
      <c r="AR230" s="1391">
        <v>0</v>
      </c>
    </row>
    <row r="231" spans="1:44" s="1748" customFormat="1" ht="17.25" hidden="1" customHeight="1">
      <c r="A231" s="256"/>
      <c r="C231" s="144"/>
      <c r="D231" s="3922">
        <v>3</v>
      </c>
      <c r="E231" s="3911" t="s">
        <v>482</v>
      </c>
      <c r="F231" s="3924" t="s">
        <v>6</v>
      </c>
      <c r="G231" s="3911"/>
      <c r="H231" s="3913"/>
      <c r="I231" s="3915"/>
      <c r="J231" s="3917"/>
      <c r="K231" s="3909"/>
      <c r="L231" s="3909"/>
      <c r="M231" s="3909"/>
      <c r="N231" s="3920"/>
      <c r="O231" s="3909"/>
      <c r="P231" s="3909"/>
      <c r="Q231" s="3909"/>
      <c r="R231" s="3907"/>
      <c r="S231" s="3909"/>
      <c r="T231" s="1835"/>
      <c r="U231" s="1835"/>
      <c r="V231" s="1837"/>
      <c r="W231" s="1220"/>
      <c r="X231" s="1191"/>
      <c r="Y231" s="1191"/>
      <c r="Z231" s="1191"/>
      <c r="AA231" s="1191"/>
      <c r="AB231" s="1191"/>
      <c r="AC231" s="1191" t="s">
        <v>483</v>
      </c>
      <c r="AD231" s="1191" t="s">
        <v>484</v>
      </c>
      <c r="AE231" s="1191" t="s">
        <v>485</v>
      </c>
      <c r="AF231" s="1191" t="s">
        <v>486</v>
      </c>
      <c r="AG231" s="1191"/>
      <c r="AH231" s="1191" t="str">
        <f>IF($E$231=0,"",$E$231)</f>
        <v>Тариф на подключение (технологическое присоединение) к централизованной системе водоотведения</v>
      </c>
      <c r="AI231" s="1191" t="str">
        <f>IF($G$231=0,"",$G$231)</f>
        <v/>
      </c>
      <c r="AJ231" s="1191" t="str">
        <f>IF($J$231=0,"",$J$231)</f>
        <v/>
      </c>
      <c r="AK231" s="1191" t="str">
        <f>IF($K$231="нет","без дифференциации",IF($N$231=0,"",$N$231))</f>
        <v/>
      </c>
      <c r="AL231" s="1191" t="str">
        <f>IF($O$231="нет","без дифференциации",IF($R$231=0,"",$R$231))</f>
        <v/>
      </c>
      <c r="AM231" s="1191" t="str">
        <f>IF($S$231="нет","без дифференциации",IF($V$231=0,"",$V$231))</f>
        <v/>
      </c>
      <c r="AN231" s="1668">
        <f>$I$231</f>
        <v>0</v>
      </c>
      <c r="AO231" s="1191" t="str">
        <f>$I$231&amp;"."&amp;$M$231</f>
        <v>.</v>
      </c>
      <c r="AP231" s="1190" t="str">
        <f>$I$231&amp;"."&amp;$M$231&amp;"."&amp;$Q$231</f>
        <v>..</v>
      </c>
      <c r="AQ231" s="1190" t="str">
        <f>$I$231&amp;"."&amp;$M$231&amp;"."&amp;$Q$231&amp;"."&amp;$U$231</f>
        <v>...</v>
      </c>
      <c r="AR231" s="1391">
        <v>0</v>
      </c>
    </row>
    <row r="232" spans="1:44" s="1748" customFormat="1" ht="17.25" hidden="1" customHeight="1">
      <c r="A232" s="256"/>
      <c r="C232" s="255"/>
      <c r="D232" s="3922"/>
      <c r="E232" s="3911"/>
      <c r="F232" s="3925"/>
      <c r="G232" s="3911"/>
      <c r="H232" s="3914"/>
      <c r="I232" s="3916"/>
      <c r="J232" s="3918"/>
      <c r="K232" s="3910"/>
      <c r="L232" s="3910"/>
      <c r="M232" s="3910"/>
      <c r="N232" s="3921"/>
      <c r="O232" s="3910"/>
      <c r="P232" s="3910"/>
      <c r="Q232" s="3910"/>
      <c r="R232" s="3908"/>
      <c r="S232" s="3910"/>
      <c r="T232" s="1840"/>
      <c r="U232" s="1840"/>
      <c r="V232" s="1840"/>
      <c r="W232" s="1841"/>
      <c r="X232" s="1190"/>
      <c r="Y232" s="1190"/>
      <c r="Z232" s="1190"/>
      <c r="AA232" s="1190"/>
      <c r="AB232" s="1190"/>
      <c r="AC232" s="1190"/>
      <c r="AD232" s="1190"/>
      <c r="AE232" s="1190"/>
      <c r="AF232" s="1190"/>
      <c r="AG232" s="1190"/>
      <c r="AH232" s="1190"/>
      <c r="AI232" s="1190"/>
      <c r="AJ232" s="1190"/>
      <c r="AK232" s="1190"/>
      <c r="AL232" s="1190"/>
      <c r="AM232" s="1190"/>
      <c r="AN232" s="1190"/>
      <c r="AO232" s="1190"/>
      <c r="AP232" s="1190"/>
      <c r="AQ232" s="1190"/>
      <c r="AR232" s="1391">
        <v>0</v>
      </c>
    </row>
    <row r="233" spans="1:44" s="1748" customFormat="1" ht="17.25" hidden="1" customHeight="1">
      <c r="A233" s="256"/>
      <c r="C233" s="255"/>
      <c r="D233" s="3923"/>
      <c r="E233" s="3912"/>
      <c r="F233" s="3925"/>
      <c r="G233" s="3912"/>
      <c r="H233" s="3914"/>
      <c r="I233" s="3916"/>
      <c r="J233" s="3919"/>
      <c r="K233" s="3910"/>
      <c r="L233" s="3910"/>
      <c r="M233" s="3910"/>
      <c r="N233" s="3908"/>
      <c r="O233" s="3910"/>
      <c r="P233" s="1836"/>
      <c r="Q233" s="1840"/>
      <c r="R233" s="1840"/>
      <c r="S233" s="264"/>
      <c r="T233" s="264"/>
      <c r="U233" s="264"/>
      <c r="V233" s="264"/>
      <c r="W233" s="1841"/>
      <c r="X233" s="1190"/>
      <c r="Y233" s="1190"/>
      <c r="Z233" s="1190"/>
      <c r="AA233" s="1190"/>
      <c r="AB233" s="1190"/>
      <c r="AC233" s="1190"/>
      <c r="AD233" s="1190"/>
      <c r="AE233" s="1190"/>
      <c r="AF233" s="1190"/>
      <c r="AG233" s="1190"/>
      <c r="AH233" s="1190"/>
      <c r="AI233" s="1190"/>
      <c r="AJ233" s="1190"/>
      <c r="AK233" s="1190"/>
      <c r="AL233" s="1190"/>
      <c r="AM233" s="1190"/>
      <c r="AN233" s="1190"/>
      <c r="AO233" s="1190"/>
      <c r="AP233" s="1190"/>
      <c r="AQ233" s="1190"/>
      <c r="AR233" s="1391">
        <v>0</v>
      </c>
    </row>
    <row r="234" spans="1:44" s="1748" customFormat="1" ht="17.25" hidden="1" customHeight="1">
      <c r="A234" s="256"/>
      <c r="C234" s="255"/>
      <c r="D234" s="3923"/>
      <c r="E234" s="3912"/>
      <c r="F234" s="3925"/>
      <c r="G234" s="3912"/>
      <c r="H234" s="3914"/>
      <c r="I234" s="3916"/>
      <c r="J234" s="3919"/>
      <c r="K234" s="3910"/>
      <c r="L234" s="1840"/>
      <c r="M234" s="1840"/>
      <c r="N234" s="1840"/>
      <c r="O234" s="1840"/>
      <c r="P234" s="1840"/>
      <c r="Q234" s="1840"/>
      <c r="R234" s="1840"/>
      <c r="S234" s="264"/>
      <c r="T234" s="264"/>
      <c r="U234" s="264"/>
      <c r="V234" s="264"/>
      <c r="W234" s="1841"/>
      <c r="X234" s="1190"/>
      <c r="Y234" s="1190"/>
      <c r="Z234" s="1190"/>
      <c r="AA234" s="1190"/>
      <c r="AB234" s="1190"/>
      <c r="AC234" s="1190"/>
      <c r="AD234" s="1190"/>
      <c r="AE234" s="1190"/>
      <c r="AF234" s="1190"/>
      <c r="AG234" s="1190"/>
      <c r="AH234" s="1190"/>
      <c r="AI234" s="1190"/>
      <c r="AJ234" s="1190"/>
      <c r="AK234" s="1190"/>
      <c r="AL234" s="1190"/>
      <c r="AM234" s="1190"/>
      <c r="AN234" s="1190"/>
      <c r="AO234" s="1190"/>
      <c r="AP234" s="1190"/>
      <c r="AQ234" s="1190"/>
      <c r="AR234" s="1391">
        <v>0</v>
      </c>
    </row>
    <row r="235" spans="1:44" s="1748" customFormat="1" ht="17.25" hidden="1" customHeight="1">
      <c r="A235" s="256"/>
      <c r="C235" s="255"/>
      <c r="D235" s="3923"/>
      <c r="E235" s="3912"/>
      <c r="F235" s="3926"/>
      <c r="G235" s="3912"/>
      <c r="H235" s="1223"/>
      <c r="I235" s="1838"/>
      <c r="J235" s="1838"/>
      <c r="K235" s="1838"/>
      <c r="L235" s="1838"/>
      <c r="M235" s="1838"/>
      <c r="N235" s="1838"/>
      <c r="O235" s="1838"/>
      <c r="P235" s="1838"/>
      <c r="Q235" s="1838"/>
      <c r="R235" s="1838"/>
      <c r="S235" s="1225"/>
      <c r="T235" s="1225"/>
      <c r="U235" s="1225"/>
      <c r="V235" s="1225"/>
      <c r="W235" s="1839"/>
      <c r="X235" s="1190"/>
      <c r="Y235" s="1190"/>
      <c r="Z235" s="1190"/>
      <c r="AA235" s="1190"/>
      <c r="AB235" s="1190"/>
      <c r="AC235" s="1190"/>
      <c r="AD235" s="1190"/>
      <c r="AE235" s="1190"/>
      <c r="AF235" s="1190"/>
      <c r="AG235" s="1190"/>
      <c r="AH235" s="1190"/>
      <c r="AI235" s="1190"/>
      <c r="AJ235" s="1190"/>
      <c r="AK235" s="1190"/>
      <c r="AL235" s="1190"/>
      <c r="AM235" s="1190"/>
      <c r="AN235" s="1190"/>
      <c r="AO235" s="1190"/>
      <c r="AP235" s="1190"/>
      <c r="AQ235" s="1190"/>
      <c r="AR235" s="1391">
        <v>0</v>
      </c>
    </row>
    <row r="236" spans="1:44" ht="11.45" customHeight="1">
      <c r="AR236" s="43">
        <v>11</v>
      </c>
    </row>
    <row r="237" spans="1:44" ht="11.45" customHeight="1">
      <c r="AR237" s="43">
        <v>11</v>
      </c>
    </row>
    <row r="238" spans="1:44" ht="11.45" customHeight="1">
      <c r="AR238" s="43">
        <v>11</v>
      </c>
    </row>
    <row r="239" spans="1:44" ht="11.45" customHeight="1">
      <c r="E239" s="1274"/>
      <c r="AR239" s="43">
        <v>11</v>
      </c>
    </row>
    <row r="240" spans="1:44" ht="11.45" customHeight="1">
      <c r="E240" s="1274"/>
      <c r="AR240" s="43">
        <v>11</v>
      </c>
    </row>
    <row r="241" spans="1:44" ht="11.45" customHeight="1">
      <c r="E241" s="1274"/>
      <c r="AR241" s="43">
        <v>11</v>
      </c>
    </row>
    <row r="242" spans="1:44" ht="11.45" customHeight="1">
      <c r="E242" s="1274"/>
      <c r="AR242" s="43">
        <v>11</v>
      </c>
    </row>
    <row r="243" spans="1:44" ht="11.45" customHeight="1">
      <c r="E243" s="1274"/>
      <c r="AR243" s="43">
        <v>11</v>
      </c>
    </row>
    <row r="244" spans="1:44" ht="11.45" customHeight="1">
      <c r="E244" s="1274"/>
      <c r="AR244" s="43">
        <v>11</v>
      </c>
    </row>
    <row r="245" spans="1:44" ht="11.45" customHeight="1">
      <c r="E245" s="1274"/>
      <c r="AR245" s="43">
        <v>11</v>
      </c>
    </row>
    <row r="246" spans="1:44" ht="11.25" hidden="1" customHeight="1">
      <c r="A246" s="88" t="s">
        <v>69</v>
      </c>
      <c r="B246" s="88">
        <v>0</v>
      </c>
      <c r="C246" s="43">
        <v>3</v>
      </c>
      <c r="D246" s="43">
        <v>6</v>
      </c>
      <c r="E246" s="43">
        <v>42</v>
      </c>
      <c r="F246" s="1207">
        <v>14</v>
      </c>
      <c r="G246" s="43">
        <v>42</v>
      </c>
      <c r="H246" s="43">
        <v>3</v>
      </c>
      <c r="I246" s="43">
        <v>5</v>
      </c>
      <c r="J246" s="43">
        <v>47</v>
      </c>
      <c r="K246" s="43">
        <v>3</v>
      </c>
      <c r="L246" s="43">
        <v>3</v>
      </c>
      <c r="M246" s="43">
        <v>5</v>
      </c>
      <c r="N246" s="43">
        <v>28</v>
      </c>
      <c r="O246" s="43">
        <v>3</v>
      </c>
      <c r="P246" s="43">
        <v>3</v>
      </c>
      <c r="Q246" s="43">
        <v>5</v>
      </c>
      <c r="R246" s="43">
        <v>34</v>
      </c>
      <c r="S246" s="217">
        <v>0</v>
      </c>
      <c r="T246" s="217">
        <v>0</v>
      </c>
      <c r="U246" s="217">
        <v>0</v>
      </c>
      <c r="V246" s="217">
        <v>0</v>
      </c>
      <c r="W246" s="43">
        <v>30</v>
      </c>
      <c r="X246" s="43">
        <v>3</v>
      </c>
      <c r="Y246" s="1183">
        <v>0</v>
      </c>
      <c r="Z246" s="1183">
        <v>0</v>
      </c>
      <c r="AA246" s="1183">
        <v>0</v>
      </c>
      <c r="AB246" s="1183">
        <v>0</v>
      </c>
      <c r="AC246" s="1183">
        <v>0</v>
      </c>
      <c r="AD246" s="1183">
        <v>0</v>
      </c>
      <c r="AE246" s="1183">
        <v>0</v>
      </c>
      <c r="AF246" s="1183">
        <v>0</v>
      </c>
      <c r="AG246" s="1183">
        <v>0</v>
      </c>
      <c r="AH246" s="1183">
        <v>0</v>
      </c>
      <c r="AI246" s="1183">
        <v>0</v>
      </c>
      <c r="AJ246" s="1183">
        <v>0</v>
      </c>
      <c r="AK246" s="1183">
        <v>0</v>
      </c>
      <c r="AL246" s="1183">
        <v>0</v>
      </c>
      <c r="AM246" s="1183">
        <v>0</v>
      </c>
      <c r="AN246" s="1183">
        <v>0</v>
      </c>
      <c r="AO246" s="1183">
        <v>0</v>
      </c>
      <c r="AP246" s="1183">
        <v>0</v>
      </c>
      <c r="AQ246" s="1183">
        <v>0</v>
      </c>
      <c r="AR246" s="43">
        <v>11</v>
      </c>
    </row>
  </sheetData>
  <sheetProtection formatColumns="0" formatRows="0" insertRows="0" deleteColumns="0" deleteRows="0" sort="0" autoFilter="0"/>
  <mergeCells count="635">
    <mergeCell ref="L125:L127"/>
    <mergeCell ref="M125:M127"/>
    <mergeCell ref="N125:N127"/>
    <mergeCell ref="O125:O127"/>
    <mergeCell ref="S125:S126"/>
    <mergeCell ref="P125:P126"/>
    <mergeCell ref="Q125:Q126"/>
    <mergeCell ref="R125:R126"/>
    <mergeCell ref="L128:L130"/>
    <mergeCell ref="M128:M130"/>
    <mergeCell ref="N128:N130"/>
    <mergeCell ref="O128:O130"/>
    <mergeCell ref="S128:S129"/>
    <mergeCell ref="P128:P129"/>
    <mergeCell ref="Q128:Q129"/>
    <mergeCell ref="R128:R129"/>
    <mergeCell ref="L118:L124"/>
    <mergeCell ref="M118:M124"/>
    <mergeCell ref="N118:N124"/>
    <mergeCell ref="O118:O124"/>
    <mergeCell ref="S118:S119"/>
    <mergeCell ref="P118:P119"/>
    <mergeCell ref="Q118:Q119"/>
    <mergeCell ref="R118:R119"/>
    <mergeCell ref="S112:S113"/>
    <mergeCell ref="P112:P113"/>
    <mergeCell ref="Q112:Q113"/>
    <mergeCell ref="R112:R113"/>
    <mergeCell ref="S120:S121"/>
    <mergeCell ref="P120:P121"/>
    <mergeCell ref="Q120:Q121"/>
    <mergeCell ref="R120:R121"/>
    <mergeCell ref="S122:S123"/>
    <mergeCell ref="P122:P123"/>
    <mergeCell ref="Q122:Q123"/>
    <mergeCell ref="R122:R123"/>
    <mergeCell ref="L110:L114"/>
    <mergeCell ref="M110:M114"/>
    <mergeCell ref="N110:N114"/>
    <mergeCell ref="O110:O114"/>
    <mergeCell ref="S110:S111"/>
    <mergeCell ref="P110:P111"/>
    <mergeCell ref="Q110:Q111"/>
    <mergeCell ref="R110:R111"/>
    <mergeCell ref="L115:L117"/>
    <mergeCell ref="M115:M117"/>
    <mergeCell ref="N115:N117"/>
    <mergeCell ref="O115:O117"/>
    <mergeCell ref="S115:S116"/>
    <mergeCell ref="P115:P116"/>
    <mergeCell ref="Q115:Q116"/>
    <mergeCell ref="R115:R116"/>
    <mergeCell ref="L104:L106"/>
    <mergeCell ref="M104:M106"/>
    <mergeCell ref="N104:N106"/>
    <mergeCell ref="O104:O106"/>
    <mergeCell ref="S104:S105"/>
    <mergeCell ref="P104:P105"/>
    <mergeCell ref="Q104:Q105"/>
    <mergeCell ref="R104:R105"/>
    <mergeCell ref="L107:L109"/>
    <mergeCell ref="M107:M109"/>
    <mergeCell ref="N107:N109"/>
    <mergeCell ref="O107:O109"/>
    <mergeCell ref="S107:S108"/>
    <mergeCell ref="P107:P108"/>
    <mergeCell ref="Q107:Q108"/>
    <mergeCell ref="R107:R108"/>
    <mergeCell ref="L94:L100"/>
    <mergeCell ref="M94:M100"/>
    <mergeCell ref="N94:N100"/>
    <mergeCell ref="O94:O100"/>
    <mergeCell ref="S94:S95"/>
    <mergeCell ref="P94:P95"/>
    <mergeCell ref="Q94:Q95"/>
    <mergeCell ref="R94:R95"/>
    <mergeCell ref="L101:L103"/>
    <mergeCell ref="M101:M103"/>
    <mergeCell ref="N101:N103"/>
    <mergeCell ref="O101:O103"/>
    <mergeCell ref="S101:S102"/>
    <mergeCell ref="P101:P102"/>
    <mergeCell ref="Q101:Q102"/>
    <mergeCell ref="R101:R102"/>
    <mergeCell ref="S96:S97"/>
    <mergeCell ref="P96:P97"/>
    <mergeCell ref="Q96:Q97"/>
    <mergeCell ref="R96:R97"/>
    <mergeCell ref="S98:S99"/>
    <mergeCell ref="P98:P99"/>
    <mergeCell ref="Q98:Q99"/>
    <mergeCell ref="R98:R99"/>
    <mergeCell ref="L88:L90"/>
    <mergeCell ref="M88:M90"/>
    <mergeCell ref="N88:N90"/>
    <mergeCell ref="O88:O90"/>
    <mergeCell ref="S88:S89"/>
    <mergeCell ref="P88:P89"/>
    <mergeCell ref="Q88:Q89"/>
    <mergeCell ref="R88:R89"/>
    <mergeCell ref="L91:L93"/>
    <mergeCell ref="M91:M93"/>
    <mergeCell ref="N91:N93"/>
    <mergeCell ref="O91:O93"/>
    <mergeCell ref="S91:S92"/>
    <mergeCell ref="P91:P92"/>
    <mergeCell ref="Q91:Q92"/>
    <mergeCell ref="R91:R92"/>
    <mergeCell ref="L82:L84"/>
    <mergeCell ref="M82:M84"/>
    <mergeCell ref="N82:N84"/>
    <mergeCell ref="O82:O84"/>
    <mergeCell ref="S82:S83"/>
    <mergeCell ref="P82:P83"/>
    <mergeCell ref="Q82:Q83"/>
    <mergeCell ref="R82:R83"/>
    <mergeCell ref="L85:L87"/>
    <mergeCell ref="M85:M87"/>
    <mergeCell ref="N85:N87"/>
    <mergeCell ref="O85:O87"/>
    <mergeCell ref="S85:S86"/>
    <mergeCell ref="P85:P86"/>
    <mergeCell ref="Q85:Q86"/>
    <mergeCell ref="R85:R86"/>
    <mergeCell ref="L76:L78"/>
    <mergeCell ref="M76:M78"/>
    <mergeCell ref="N76:N78"/>
    <mergeCell ref="O76:O78"/>
    <mergeCell ref="S76:S77"/>
    <mergeCell ref="P76:P77"/>
    <mergeCell ref="Q76:Q77"/>
    <mergeCell ref="R76:R77"/>
    <mergeCell ref="L79:L81"/>
    <mergeCell ref="M79:M81"/>
    <mergeCell ref="N79:N81"/>
    <mergeCell ref="O79:O81"/>
    <mergeCell ref="S79:S80"/>
    <mergeCell ref="P79:P80"/>
    <mergeCell ref="Q79:Q80"/>
    <mergeCell ref="R79:R80"/>
    <mergeCell ref="J64:J131"/>
    <mergeCell ref="H64:H131"/>
    <mergeCell ref="I64:I131"/>
    <mergeCell ref="O133:O135"/>
    <mergeCell ref="S133:S134"/>
    <mergeCell ref="P133:P134"/>
    <mergeCell ref="Q133:Q134"/>
    <mergeCell ref="R133:R134"/>
    <mergeCell ref="K133:K136"/>
    <mergeCell ref="M133:M135"/>
    <mergeCell ref="L133:L135"/>
    <mergeCell ref="N133:N135"/>
    <mergeCell ref="J133:J136"/>
    <mergeCell ref="H133:H136"/>
    <mergeCell ref="I133:I136"/>
    <mergeCell ref="L67:L69"/>
    <mergeCell ref="M67:M69"/>
    <mergeCell ref="N67:N69"/>
    <mergeCell ref="O67:O69"/>
    <mergeCell ref="S67:S68"/>
    <mergeCell ref="P67:P68"/>
    <mergeCell ref="Q67:Q68"/>
    <mergeCell ref="R67:R68"/>
    <mergeCell ref="L70:L72"/>
    <mergeCell ref="O64:O66"/>
    <mergeCell ref="S64:S65"/>
    <mergeCell ref="P64:P65"/>
    <mergeCell ref="Q64:Q65"/>
    <mergeCell ref="R64:R65"/>
    <mergeCell ref="K64:K131"/>
    <mergeCell ref="M64:M66"/>
    <mergeCell ref="L64:L66"/>
    <mergeCell ref="N64:N66"/>
    <mergeCell ref="M70:M72"/>
    <mergeCell ref="N70:N72"/>
    <mergeCell ref="O70:O72"/>
    <mergeCell ref="S70:S71"/>
    <mergeCell ref="P70:P71"/>
    <mergeCell ref="Q70:Q71"/>
    <mergeCell ref="R70:R71"/>
    <mergeCell ref="L73:L75"/>
    <mergeCell ref="M73:M75"/>
    <mergeCell ref="N73:N75"/>
    <mergeCell ref="O73:O75"/>
    <mergeCell ref="S73:S74"/>
    <mergeCell ref="P73:P74"/>
    <mergeCell ref="Q73:Q74"/>
    <mergeCell ref="R73:R74"/>
    <mergeCell ref="L47:L49"/>
    <mergeCell ref="M47:M49"/>
    <mergeCell ref="N47:N49"/>
    <mergeCell ref="O47:O49"/>
    <mergeCell ref="S47:S48"/>
    <mergeCell ref="P47:P48"/>
    <mergeCell ref="Q47:Q48"/>
    <mergeCell ref="R47:R48"/>
    <mergeCell ref="L50:L56"/>
    <mergeCell ref="M50:M56"/>
    <mergeCell ref="N50:N56"/>
    <mergeCell ref="O50:O56"/>
    <mergeCell ref="S50:S51"/>
    <mergeCell ref="P50:P51"/>
    <mergeCell ref="Q50:Q51"/>
    <mergeCell ref="R50:R51"/>
    <mergeCell ref="S52:S53"/>
    <mergeCell ref="P52:P53"/>
    <mergeCell ref="Q52:Q53"/>
    <mergeCell ref="R52:R53"/>
    <mergeCell ref="S54:S55"/>
    <mergeCell ref="P54:P55"/>
    <mergeCell ref="Q54:Q55"/>
    <mergeCell ref="R54:R55"/>
    <mergeCell ref="L41:L43"/>
    <mergeCell ref="M41:M43"/>
    <mergeCell ref="N41:N43"/>
    <mergeCell ref="O41:O43"/>
    <mergeCell ref="S41:S42"/>
    <mergeCell ref="P41:P42"/>
    <mergeCell ref="Q41:Q42"/>
    <mergeCell ref="R41:R42"/>
    <mergeCell ref="L44:L46"/>
    <mergeCell ref="M44:M46"/>
    <mergeCell ref="N44:N46"/>
    <mergeCell ref="O44:O46"/>
    <mergeCell ref="S44:S45"/>
    <mergeCell ref="P44:P45"/>
    <mergeCell ref="Q44:Q45"/>
    <mergeCell ref="R44:R45"/>
    <mergeCell ref="S33:S34"/>
    <mergeCell ref="P33:P34"/>
    <mergeCell ref="Q33:Q34"/>
    <mergeCell ref="R33:R34"/>
    <mergeCell ref="L38:L40"/>
    <mergeCell ref="M38:M40"/>
    <mergeCell ref="N38:N40"/>
    <mergeCell ref="O38:O40"/>
    <mergeCell ref="S38:S39"/>
    <mergeCell ref="P38:P39"/>
    <mergeCell ref="Q38:Q39"/>
    <mergeCell ref="R38:R39"/>
    <mergeCell ref="S35:S36"/>
    <mergeCell ref="P35:P36"/>
    <mergeCell ref="Q35:Q36"/>
    <mergeCell ref="R35:R36"/>
    <mergeCell ref="J18:J57"/>
    <mergeCell ref="H18:H57"/>
    <mergeCell ref="I18:I57"/>
    <mergeCell ref="L21:L23"/>
    <mergeCell ref="M21:M23"/>
    <mergeCell ref="N21:N23"/>
    <mergeCell ref="O21:O23"/>
    <mergeCell ref="S21:S22"/>
    <mergeCell ref="P21:P22"/>
    <mergeCell ref="Q21:Q22"/>
    <mergeCell ref="R21:R22"/>
    <mergeCell ref="L24:L26"/>
    <mergeCell ref="M24:M26"/>
    <mergeCell ref="N24:N26"/>
    <mergeCell ref="O24:O26"/>
    <mergeCell ref="S24:S25"/>
    <mergeCell ref="P24:P25"/>
    <mergeCell ref="Q24:Q25"/>
    <mergeCell ref="R24:R25"/>
    <mergeCell ref="L27:L29"/>
    <mergeCell ref="M27:M29"/>
    <mergeCell ref="N27:N29"/>
    <mergeCell ref="O27:O29"/>
    <mergeCell ref="S27:S28"/>
    <mergeCell ref="O18:O20"/>
    <mergeCell ref="S18:S19"/>
    <mergeCell ref="P18:P19"/>
    <mergeCell ref="Q18:Q19"/>
    <mergeCell ref="R18:R19"/>
    <mergeCell ref="K18:K57"/>
    <mergeCell ref="M18:M20"/>
    <mergeCell ref="L18:L20"/>
    <mergeCell ref="N18:N20"/>
    <mergeCell ref="P27:P28"/>
    <mergeCell ref="Q27:Q28"/>
    <mergeCell ref="R27:R28"/>
    <mergeCell ref="L30:L32"/>
    <mergeCell ref="M30:M32"/>
    <mergeCell ref="N30:N32"/>
    <mergeCell ref="O30:O32"/>
    <mergeCell ref="S30:S31"/>
    <mergeCell ref="P30:P31"/>
    <mergeCell ref="Q30:Q31"/>
    <mergeCell ref="R30:R31"/>
    <mergeCell ref="L33:L37"/>
    <mergeCell ref="M33:M37"/>
    <mergeCell ref="N33:N37"/>
    <mergeCell ref="O33:O37"/>
    <mergeCell ref="D158:D162"/>
    <mergeCell ref="M199:M201"/>
    <mergeCell ref="M158:M160"/>
    <mergeCell ref="N158:N160"/>
    <mergeCell ref="O158:O160"/>
    <mergeCell ref="P158:P159"/>
    <mergeCell ref="Q158:Q159"/>
    <mergeCell ref="R158:R159"/>
    <mergeCell ref="S158:S159"/>
    <mergeCell ref="D163:D167"/>
    <mergeCell ref="E163:E167"/>
    <mergeCell ref="F163:F167"/>
    <mergeCell ref="G163:G167"/>
    <mergeCell ref="H163:H166"/>
    <mergeCell ref="I163:I166"/>
    <mergeCell ref="J163:J166"/>
    <mergeCell ref="K163:K166"/>
    <mergeCell ref="L163:L165"/>
    <mergeCell ref="M163:M165"/>
    <mergeCell ref="N163:N165"/>
    <mergeCell ref="O163:O165"/>
    <mergeCell ref="P163:P164"/>
    <mergeCell ref="Q163:Q164"/>
    <mergeCell ref="R163:R164"/>
    <mergeCell ref="S163:S164"/>
    <mergeCell ref="E158:E162"/>
    <mergeCell ref="F158:F162"/>
    <mergeCell ref="G158:G162"/>
    <mergeCell ref="H158:H161"/>
    <mergeCell ref="I158:I161"/>
    <mergeCell ref="J158:J161"/>
    <mergeCell ref="K158:K161"/>
    <mergeCell ref="L158:L160"/>
    <mergeCell ref="M194:M196"/>
    <mergeCell ref="N194:N196"/>
    <mergeCell ref="O194:O196"/>
    <mergeCell ref="P194:P195"/>
    <mergeCell ref="Q194:Q195"/>
    <mergeCell ref="R194:R195"/>
    <mergeCell ref="S194:S195"/>
    <mergeCell ref="D189:D193"/>
    <mergeCell ref="E189:E193"/>
    <mergeCell ref="M189:M191"/>
    <mergeCell ref="D194:D198"/>
    <mergeCell ref="E194:E198"/>
    <mergeCell ref="F194:F198"/>
    <mergeCell ref="G194:G198"/>
    <mergeCell ref="H194:H197"/>
    <mergeCell ref="I194:I197"/>
    <mergeCell ref="J194:J197"/>
    <mergeCell ref="K194:K197"/>
    <mergeCell ref="L194:L196"/>
    <mergeCell ref="F189:F193"/>
    <mergeCell ref="G189:G193"/>
    <mergeCell ref="H189:H192"/>
    <mergeCell ref="I189:I192"/>
    <mergeCell ref="J189:J192"/>
    <mergeCell ref="P184:P185"/>
    <mergeCell ref="S189:S190"/>
    <mergeCell ref="N189:N191"/>
    <mergeCell ref="O189:O191"/>
    <mergeCell ref="P189:P190"/>
    <mergeCell ref="Q189:Q190"/>
    <mergeCell ref="R189:R190"/>
    <mergeCell ref="L184:L186"/>
    <mergeCell ref="N179:N181"/>
    <mergeCell ref="O179:O181"/>
    <mergeCell ref="P179:P180"/>
    <mergeCell ref="Q179:Q180"/>
    <mergeCell ref="R179:R180"/>
    <mergeCell ref="S179:S180"/>
    <mergeCell ref="M184:M186"/>
    <mergeCell ref="W9:W10"/>
    <mergeCell ref="O9:R9"/>
    <mergeCell ref="K9:N9"/>
    <mergeCell ref="T11:U11"/>
    <mergeCell ref="S9:V9"/>
    <mergeCell ref="T10:U10"/>
    <mergeCell ref="D179:D183"/>
    <mergeCell ref="E179:E183"/>
    <mergeCell ref="D184:D188"/>
    <mergeCell ref="E184:E188"/>
    <mergeCell ref="F184:F188"/>
    <mergeCell ref="G184:G188"/>
    <mergeCell ref="H184:H187"/>
    <mergeCell ref="I184:I187"/>
    <mergeCell ref="J184:J187"/>
    <mergeCell ref="F179:F183"/>
    <mergeCell ref="G179:G183"/>
    <mergeCell ref="H179:H182"/>
    <mergeCell ref="I179:I182"/>
    <mergeCell ref="J179:J182"/>
    <mergeCell ref="K13:K16"/>
    <mergeCell ref="G18:G58"/>
    <mergeCell ref="Q184:Q185"/>
    <mergeCell ref="R184:R1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58"/>
    <mergeCell ref="E18:E58"/>
    <mergeCell ref="F18:F58"/>
    <mergeCell ref="D64:D132"/>
    <mergeCell ref="E64:E132"/>
    <mergeCell ref="F64:F132"/>
    <mergeCell ref="G64:G132"/>
    <mergeCell ref="D59:D63"/>
    <mergeCell ref="E59:E63"/>
    <mergeCell ref="F59:F63"/>
    <mergeCell ref="D153:D157"/>
    <mergeCell ref="E153:E157"/>
    <mergeCell ref="F153:F157"/>
    <mergeCell ref="H153:H156"/>
    <mergeCell ref="N143:N145"/>
    <mergeCell ref="G138:G142"/>
    <mergeCell ref="K138:K141"/>
    <mergeCell ref="G153:G157"/>
    <mergeCell ref="K153:K156"/>
    <mergeCell ref="N153:N155"/>
    <mergeCell ref="I153:I156"/>
    <mergeCell ref="J153:J156"/>
    <mergeCell ref="L153:L155"/>
    <mergeCell ref="M153:M155"/>
    <mergeCell ref="L143:L145"/>
    <mergeCell ref="M143:M145"/>
    <mergeCell ref="K143:K146"/>
    <mergeCell ref="D143:D147"/>
    <mergeCell ref="I143:I146"/>
    <mergeCell ref="J143:J146"/>
    <mergeCell ref="I138:I141"/>
    <mergeCell ref="J138:J141"/>
    <mergeCell ref="L138:L140"/>
    <mergeCell ref="M138:M140"/>
    <mergeCell ref="L148:L150"/>
    <mergeCell ref="D133:D137"/>
    <mergeCell ref="E133:E137"/>
    <mergeCell ref="F133:F137"/>
    <mergeCell ref="P143:P144"/>
    <mergeCell ref="O138:O140"/>
    <mergeCell ref="Q143:Q144"/>
    <mergeCell ref="R143:R144"/>
    <mergeCell ref="O143:O145"/>
    <mergeCell ref="D138:D142"/>
    <mergeCell ref="D148:D152"/>
    <mergeCell ref="E148:E152"/>
    <mergeCell ref="F148:F152"/>
    <mergeCell ref="G148:G152"/>
    <mergeCell ref="H148:H151"/>
    <mergeCell ref="I148:I151"/>
    <mergeCell ref="J148:J151"/>
    <mergeCell ref="K148:K151"/>
    <mergeCell ref="E143:E147"/>
    <mergeCell ref="F143:F147"/>
    <mergeCell ref="H143:H146"/>
    <mergeCell ref="G143:G147"/>
    <mergeCell ref="G133:G137"/>
    <mergeCell ref="S138:S139"/>
    <mergeCell ref="S143:S144"/>
    <mergeCell ref="E138:E142"/>
    <mergeCell ref="F138:F142"/>
    <mergeCell ref="H138:H141"/>
    <mergeCell ref="P138:P139"/>
    <mergeCell ref="Q138:Q139"/>
    <mergeCell ref="R138:R139"/>
    <mergeCell ref="N205:N207"/>
    <mergeCell ref="O205:O207"/>
    <mergeCell ref="P205:P206"/>
    <mergeCell ref="Q205:Q206"/>
    <mergeCell ref="R205:R206"/>
    <mergeCell ref="S205:S206"/>
    <mergeCell ref="O153:O155"/>
    <mergeCell ref="E177:W177"/>
    <mergeCell ref="E169:W169"/>
    <mergeCell ref="E170:W170"/>
    <mergeCell ref="E171:W171"/>
    <mergeCell ref="E172:W172"/>
    <mergeCell ref="E173:W173"/>
    <mergeCell ref="L179:L181"/>
    <mergeCell ref="M179:M181"/>
    <mergeCell ref="E175:W175"/>
    <mergeCell ref="E176:W176"/>
    <mergeCell ref="K189:K192"/>
    <mergeCell ref="L189:L191"/>
    <mergeCell ref="S184:S185"/>
    <mergeCell ref="K184:K187"/>
    <mergeCell ref="K179:K182"/>
    <mergeCell ref="N184:N186"/>
    <mergeCell ref="O184:O186"/>
    <mergeCell ref="R13:R14"/>
    <mergeCell ref="S13:S14"/>
    <mergeCell ref="M148:M150"/>
    <mergeCell ref="N148:N150"/>
    <mergeCell ref="O148:O150"/>
    <mergeCell ref="N138:N140"/>
    <mergeCell ref="D205:D209"/>
    <mergeCell ref="E205:E209"/>
    <mergeCell ref="F205:F209"/>
    <mergeCell ref="G205:G209"/>
    <mergeCell ref="H205:H208"/>
    <mergeCell ref="I205:I208"/>
    <mergeCell ref="J205:J208"/>
    <mergeCell ref="K205:K208"/>
    <mergeCell ref="L205:L207"/>
    <mergeCell ref="P153:P154"/>
    <mergeCell ref="Q153:Q154"/>
    <mergeCell ref="R153:R154"/>
    <mergeCell ref="S153:S154"/>
    <mergeCell ref="P148:P149"/>
    <mergeCell ref="Q148:Q149"/>
    <mergeCell ref="R148:R149"/>
    <mergeCell ref="S148:S149"/>
    <mergeCell ref="M205:M207"/>
    <mergeCell ref="S221:S222"/>
    <mergeCell ref="D221:D225"/>
    <mergeCell ref="E221:E225"/>
    <mergeCell ref="F221:F225"/>
    <mergeCell ref="G221:G225"/>
    <mergeCell ref="M210:M212"/>
    <mergeCell ref="N210:N212"/>
    <mergeCell ref="O210:O212"/>
    <mergeCell ref="P210:P211"/>
    <mergeCell ref="Q210:Q211"/>
    <mergeCell ref="R210:R211"/>
    <mergeCell ref="S210:S211"/>
    <mergeCell ref="D210:D214"/>
    <mergeCell ref="E210:E214"/>
    <mergeCell ref="F210:F214"/>
    <mergeCell ref="G210:G214"/>
    <mergeCell ref="H210:H213"/>
    <mergeCell ref="I210:I213"/>
    <mergeCell ref="J210:J213"/>
    <mergeCell ref="K210:K213"/>
    <mergeCell ref="L210:L212"/>
    <mergeCell ref="O221:O223"/>
    <mergeCell ref="M226:M228"/>
    <mergeCell ref="N226:N228"/>
    <mergeCell ref="O226:O228"/>
    <mergeCell ref="P221:P222"/>
    <mergeCell ref="Q221:Q222"/>
    <mergeCell ref="R221:R222"/>
    <mergeCell ref="P226:P227"/>
    <mergeCell ref="Q226:Q227"/>
    <mergeCell ref="R226:R227"/>
    <mergeCell ref="F199:F203"/>
    <mergeCell ref="G199:G203"/>
    <mergeCell ref="H199:H202"/>
    <mergeCell ref="I199:I202"/>
    <mergeCell ref="J199:J202"/>
    <mergeCell ref="K199:K202"/>
    <mergeCell ref="L199:L201"/>
    <mergeCell ref="S226:S227"/>
    <mergeCell ref="D226:D230"/>
    <mergeCell ref="E226:E230"/>
    <mergeCell ref="F226:F230"/>
    <mergeCell ref="G226:G230"/>
    <mergeCell ref="H226:H229"/>
    <mergeCell ref="I226:I229"/>
    <mergeCell ref="J226:J229"/>
    <mergeCell ref="K226:K229"/>
    <mergeCell ref="L226:L228"/>
    <mergeCell ref="H221:H224"/>
    <mergeCell ref="I221:I224"/>
    <mergeCell ref="J221:J224"/>
    <mergeCell ref="K221:K224"/>
    <mergeCell ref="L221:L223"/>
    <mergeCell ref="M221:M223"/>
    <mergeCell ref="N221:N223"/>
    <mergeCell ref="N199:N201"/>
    <mergeCell ref="O199:O201"/>
    <mergeCell ref="P199:P200"/>
    <mergeCell ref="Q199:Q200"/>
    <mergeCell ref="R199:R200"/>
    <mergeCell ref="S199:S200"/>
    <mergeCell ref="D215:D219"/>
    <mergeCell ref="E215:E219"/>
    <mergeCell ref="F215:F219"/>
    <mergeCell ref="G215:G219"/>
    <mergeCell ref="H215:H218"/>
    <mergeCell ref="I215:I218"/>
    <mergeCell ref="J215:J218"/>
    <mergeCell ref="K215:K218"/>
    <mergeCell ref="L215:L217"/>
    <mergeCell ref="M215:M217"/>
    <mergeCell ref="N215:N217"/>
    <mergeCell ref="O215:O217"/>
    <mergeCell ref="P215:P216"/>
    <mergeCell ref="Q215:Q216"/>
    <mergeCell ref="R215:R216"/>
    <mergeCell ref="S215:S216"/>
    <mergeCell ref="D199:D203"/>
    <mergeCell ref="E199:E203"/>
    <mergeCell ref="M231:M233"/>
    <mergeCell ref="N231:N233"/>
    <mergeCell ref="O231:O233"/>
    <mergeCell ref="P231:P232"/>
    <mergeCell ref="Q231:Q232"/>
    <mergeCell ref="R231:R232"/>
    <mergeCell ref="S231:S232"/>
    <mergeCell ref="D231:D235"/>
    <mergeCell ref="E231:E235"/>
    <mergeCell ref="F231:F235"/>
    <mergeCell ref="G231:G235"/>
    <mergeCell ref="H231:H234"/>
    <mergeCell ref="I231:I234"/>
    <mergeCell ref="J231:J234"/>
    <mergeCell ref="K231:K234"/>
    <mergeCell ref="L231:L233"/>
    <mergeCell ref="R59:R60"/>
    <mergeCell ref="S59:S60"/>
    <mergeCell ref="G59:G63"/>
    <mergeCell ref="H59:H62"/>
    <mergeCell ref="I59:I62"/>
    <mergeCell ref="J59:J62"/>
    <mergeCell ref="K59:K62"/>
    <mergeCell ref="L59:L61"/>
    <mergeCell ref="M59:M61"/>
    <mergeCell ref="N59:N61"/>
    <mergeCell ref="O59:O61"/>
    <mergeCell ref="P59:P60"/>
    <mergeCell ref="Q59:Q60"/>
  </mergeCells>
  <dataValidations count="704">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type="textLength" operator="lessThanOrEqual" allowBlank="1" showInputMessage="1" showErrorMessage="1" errorTitle="Ошибка" error="Допускается ввод не более 900 символов!" sqref="W122">
      <formula1>900</formula1>
    </dataValidation>
    <dataValidation type="textLength" operator="lessThanOrEqual" allowBlank="1" showInputMessage="1" showErrorMessage="1" errorTitle="Ошибка" error="Допускается ввод не более 900 символов!" sqref="V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O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K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type="textLength" operator="lessThanOrEqual" allowBlank="1" showInputMessage="1" showErrorMessage="1" errorTitle="Ошибка" error="Допускается ввод не более 900 символов!" sqref="W120">
      <formula1>900</formula1>
    </dataValidation>
    <dataValidation type="textLength" operator="lessThanOrEqual" allowBlank="1" showInputMessage="1" showErrorMessage="1" errorTitle="Ошибка" error="Допускается ввод не более 900 символов!" sqref="V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O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K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type="textLength" operator="lessThanOrEqual" allowBlank="1" showInputMessage="1" showErrorMessage="1" errorTitle="Ошибка" error="Допускается ввод не более 900 символов!" sqref="W115">
      <formula1>900</formula1>
    </dataValidation>
    <dataValidation type="textLength" operator="lessThanOrEqual" allowBlank="1" showInputMessage="1" showErrorMessage="1" errorTitle="Ошибка" error="Допускается ввод не более 900 символов!" sqref="V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O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K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type="textLength" operator="lessThanOrEqual" allowBlank="1" showInputMessage="1" showErrorMessage="1" errorTitle="Ошибка" error="Допускается ввод не более 900 символов!" sqref="W110">
      <formula1>900</formula1>
    </dataValidation>
    <dataValidation type="textLength" operator="lessThanOrEqual" allowBlank="1" showInputMessage="1" showErrorMessage="1" errorTitle="Ошибка" error="Допускается ввод не более 900 символов!" sqref="V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O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K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type="textLength" operator="lessThanOrEqual" allowBlank="1" showInputMessage="1" showErrorMessage="1" errorTitle="Ошибка" error="Допускается ввод не более 900 символов!" sqref="W107">
      <formula1>900</formula1>
    </dataValidation>
    <dataValidation type="textLength" operator="lessThanOrEqual" allowBlank="1" showInputMessage="1" showErrorMessage="1" errorTitle="Ошибка" error="Допускается ввод не более 900 символов!" sqref="V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O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K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type="textLength" operator="lessThanOrEqual" allowBlank="1" showInputMessage="1" showErrorMessage="1" errorTitle="Ошибка" error="Допускается ввод не более 900 символов!" sqref="W104">
      <formula1>900</formula1>
    </dataValidation>
    <dataValidation type="textLength" operator="lessThanOrEqual" allowBlank="1" showInputMessage="1" showErrorMessage="1" errorTitle="Ошибка" error="Допускается ввод не более 900 символов!" sqref="V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O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K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2"/>
    <dataValidation type="textLength" operator="lessThanOrEqual" allowBlank="1" showInputMessage="1" showErrorMessage="1" errorTitle="Ошибка" error="Допускается ввод не более 900 символов!" sqref="W101">
      <formula1>900</formula1>
    </dataValidation>
    <dataValidation type="textLength" operator="lessThanOrEqual" allowBlank="1" showInputMessage="1" showErrorMessage="1" errorTitle="Ошибка" error="Допускается ввод не более 900 символов!" sqref="V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O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K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Для выбора выполните двойной щелчок левой клавиши мыши по соответствующей ячейке." sqref="S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Для выбора выполните двойной щелчок левой клавиши мыши по соответствующей ячейке." sqref="F95"/>
    <dataValidation type="textLength" operator="lessThanOrEqual" allowBlank="1" showInputMessage="1" showErrorMessage="1" errorTitle="Ошибка" error="Допускается ввод не более 900 символов!" sqref="W94">
      <formula1>900</formula1>
    </dataValidation>
    <dataValidation type="textLength" operator="lessThanOrEqual" allowBlank="1" showInputMessage="1" showErrorMessage="1" errorTitle="Ошибка" error="Допускается ввод не более 900 символов!" sqref="V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O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K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Выберите виды деятельности, выполнив двойной щелчок левой кнопки мыши по ячейке." sqref="G94"/>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Для выбора выполните двойной щелчок левой клавиши мыши по соответствующей ячейке." sqref="S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Выберите виды деятельности, выполнив двойной щелчок левой кнопки мыши по ячейке." sqref="G92"/>
    <dataValidation allowBlank="1" showInputMessage="1" showErrorMessage="1" prompt="Для выбора выполните двойной щелчок левой клавиши мыши по соответствующей ячейке." sqref="F92"/>
    <dataValidation type="textLength" operator="lessThanOrEqual" allowBlank="1" showInputMessage="1" showErrorMessage="1" errorTitle="Ошибка" error="Допускается ввод не более 900 символов!" sqref="W91">
      <formula1>900</formula1>
    </dataValidation>
    <dataValidation type="textLength" operator="lessThanOrEqual" allowBlank="1" showInputMessage="1" showErrorMessage="1" errorTitle="Ошибка" error="Допускается ввод не более 900 символов!" sqref="V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O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allowBlank="1" showInputMessage="1" showErrorMessage="1" prompt="Для выбора выполните двойной щелчок левой клавиши мыши по соответствующей ячейке." sqref="K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Выберите виды деятельности, выполнив двойной щелчок левой кнопки мыши по ячейке." sqref="G91"/>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Для выбора выполните двойной щелчок левой клавиши мыши по соответствующей ячейке." sqref="S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Выберите виды деятельности, выполнив двойной щелчок левой кнопки мыши по ячейке." sqref="G89"/>
    <dataValidation allowBlank="1" showInputMessage="1" showErrorMessage="1" prompt="Для выбора выполните двойной щелчок левой клавиши мыши по соответствующей ячейке." sqref="F89"/>
    <dataValidation type="textLength" operator="lessThanOrEqual" allowBlank="1" showInputMessage="1" showErrorMessage="1" errorTitle="Ошибка" error="Допускается ввод не более 900 символов!" sqref="W88">
      <formula1>900</formula1>
    </dataValidation>
    <dataValidation type="textLength" operator="lessThanOrEqual" allowBlank="1" showInputMessage="1" showErrorMessage="1" errorTitle="Ошибка" error="Допускается ввод не более 900 символов!" sqref="V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O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K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Выберите виды деятельности, выполнив двойной щелчок левой кнопки мыши по ячейке." sqref="G88"/>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Для выбора выполните двойной щелчок левой клавиши мыши по соответствующей ячейке." sqref="S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Выберите виды деятельности, выполнив двойной щелчок левой кнопки мыши по ячейке." sqref="G86"/>
    <dataValidation allowBlank="1" showInputMessage="1" showErrorMessage="1" prompt="Для выбора выполните двойной щелчок левой клавиши мыши по соответствующей ячейке." sqref="F86"/>
    <dataValidation type="textLength" operator="lessThanOrEqual" allowBlank="1" showInputMessage="1" showErrorMessage="1" errorTitle="Ошибка" error="Допускается ввод не более 900 символов!" sqref="W85">
      <formula1>900</formula1>
    </dataValidation>
    <dataValidation type="textLength" operator="lessThanOrEqual" allowBlank="1" showInputMessage="1" showErrorMessage="1" errorTitle="Ошибка" error="Допускается ввод не более 900 символов!" sqref="V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O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K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Для выбора выполните двойной щелчок левой клавиши мыши по соответствующей ячейке." sqref="F83"/>
    <dataValidation type="textLength" operator="lessThanOrEqual" allowBlank="1" showInputMessage="1" showErrorMessage="1" errorTitle="Ошибка" error="Допускается ввод не более 900 символов!" sqref="W82">
      <formula1>900</formula1>
    </dataValidation>
    <dataValidation type="textLength" operator="lessThanOrEqual" allowBlank="1" showInputMessage="1" showErrorMessage="1" errorTitle="Ошибка" error="Допускается ввод не более 900 символов!" sqref="V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O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K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Выберите виды деятельности, выполнив двойной щелчок левой кнопки мыши по ячейке." sqref="G81"/>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Выберите виды деятельности, выполнив двойной щелчок левой кнопки мыши по ячейке." sqref="G80"/>
    <dataValidation allowBlank="1" showInputMessage="1" showErrorMessage="1" prompt="Для выбора выполните двойной щелчок левой клавиши мыши по соответствующей ячейке." sqref="F80"/>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V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O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K79"/>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allowBlank="1" showInputMessage="1" showErrorMessage="1" prompt="Выберите виды деятельности, выполнив двойной щелчок левой кнопки мыши по ячейке." sqref="G78"/>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Выберите виды деятельности, выполнив двойной щелчок левой кнопки мыши по ячейке." sqref="G77"/>
    <dataValidation allowBlank="1" showInputMessage="1" showErrorMessage="1" prompt="Для выбора выполните двойной щелчок левой клавиши мыши по соответствующей ячейке." sqref="F77"/>
    <dataValidation type="textLength" operator="lessThanOrEqual" allowBlank="1" showInputMessage="1" showErrorMessage="1" errorTitle="Ошибка" error="Допускается ввод не более 900 символов!" sqref="W76">
      <formula1>900</formula1>
    </dataValidation>
    <dataValidation type="textLength" operator="lessThanOrEqual" allowBlank="1" showInputMessage="1" showErrorMessage="1" errorTitle="Ошибка" error="Допускается ввод не более 900 символов!" sqref="V76">
      <formula1>900</formula1>
    </dataValidation>
    <dataValidation allowBlank="1" showInputMessage="1" showErrorMessage="1" prompt="Для выбора выполните двойной щелчок левой клавиши мыши по соответствующей ячейке." sqref="S76"/>
    <dataValidation type="textLength" operator="lessThanOrEqual" allowBlank="1" showInputMessage="1" showErrorMessage="1" errorTitle="Ошибка" error="Допускается ввод не более 900 символов!" sqref="R76">
      <formula1>900</formula1>
    </dataValidation>
    <dataValidation allowBlank="1" showInputMessage="1" showErrorMessage="1" prompt="Для выбора выполните двойной щелчок левой клавиши мыши по соответствующей ячейке." sqref="O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Для выбора выполните двойной щелчок левой клавиши мыши по соответствующей ячейке." sqref="K76"/>
    <dataValidation type="textLength" operator="lessThanOrEqual" allowBlank="1" showInputMessage="1" showErrorMessage="1" errorTitle="Ошибка" error="Допускается ввод не более 900 символов!" sqref="J76">
      <formula1>900</formula1>
    </dataValidation>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Для выбора выполните двойной щелчок левой клавиши мыши по соответствующей ячейке." sqref="S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Выберите виды деятельности, выполнив двойной щелчок левой кнопки мыши по ячейке." sqref="G74"/>
    <dataValidation allowBlank="1" showInputMessage="1" showErrorMessage="1" prompt="Для выбора выполните двойной щелчок левой клавиши мыши по соответствующей ячейке." sqref="F74"/>
    <dataValidation type="textLength" operator="lessThanOrEqual" allowBlank="1" showInputMessage="1" showErrorMessage="1" errorTitle="Ошибка" error="Допускается ввод не более 900 символов!" sqref="W73">
      <formula1>900</formula1>
    </dataValidation>
    <dataValidation type="textLength" operator="lessThanOrEqual" allowBlank="1" showInputMessage="1" showErrorMessage="1" errorTitle="Ошибка" error="Допускается ввод не более 900 символов!" sqref="V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O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K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Выберите виды деятельности, выполнив двойной щелчок левой кнопки мыши по ячейке." sqref="G73"/>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allowBlank="1" showInputMessage="1" showErrorMessage="1" prompt="Выберите виды деятельности, выполнив двойной щелчок левой кнопки мыши по ячейке." sqref="G72"/>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Для выбора выполните двойной щелчок левой клавиши мыши по соответствующей ячейке." sqref="S71"/>
    <dataValidation type="textLength" operator="lessThanOrEqual" allowBlank="1" showInputMessage="1" showErrorMessage="1" errorTitle="Ошибка" error="Допускается ввод не более 900 символов!" sqref="R7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type="textLength" operator="lessThanOrEqual" allowBlank="1" showInputMessage="1" showErrorMessage="1" errorTitle="Ошибка" error="Допускается ввод не более 900 символов!" sqref="J71">
      <formula1>900</formula1>
    </dataValidation>
    <dataValidation allowBlank="1" showInputMessage="1" showErrorMessage="1" prompt="Выберите виды деятельности, выполнив двойной щелчок левой кнопки мыши по ячейке." sqref="G71"/>
    <dataValidation allowBlank="1" showInputMessage="1" showErrorMessage="1" prompt="Для выбора выполните двойной щелчок левой клавиши мыши по соответствующей ячейке." sqref="F71"/>
    <dataValidation type="textLength" operator="lessThanOrEqual" allowBlank="1" showInputMessage="1" showErrorMessage="1" errorTitle="Ошибка" error="Допускается ввод не более 900 символов!" sqref="W70">
      <formula1>900</formula1>
    </dataValidation>
    <dataValidation type="textLength" operator="lessThanOrEqual" allowBlank="1" showInputMessage="1" showErrorMessage="1" errorTitle="Ошибка" error="Допускается ввод не более 900 символов!" sqref="V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O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Для выбора выполните двойной щелчок левой клавиши мыши по соответствующей ячейке." sqref="K70"/>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Выберите виды деятельности, выполнив двойной щелчок левой кнопки мыши по ячейке." sqref="G70"/>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Выберите виды деятельности, выполнив двойной щелчок левой кнопки мыши по ячейке." sqref="G69"/>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Для выбора выполните двойной щелчок левой клавиши мыши по соответствующей ячейке." sqref="S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Выберите виды деятельности, выполнив двойной щелчок левой кнопки мыши по ячейке." sqref="G68"/>
    <dataValidation allowBlank="1" showInputMessage="1" showErrorMessage="1" prompt="Для выбора выполните двойной щелчок левой клавиши мыши по соответствующей ячейке." sqref="F68"/>
    <dataValidation type="textLength" operator="lessThanOrEqual" allowBlank="1" showInputMessage="1" showErrorMessage="1" errorTitle="Ошибка" error="Допускается ввод не более 900 символов!" sqref="W67">
      <formula1>900</formula1>
    </dataValidation>
    <dataValidation type="textLength" operator="lessThanOrEqual" allowBlank="1" showInputMessage="1" showErrorMessage="1" errorTitle="Ошибка" error="Допускается ввод не более 900 символов!" sqref="V67">
      <formula1>900</formula1>
    </dataValidation>
    <dataValidation allowBlank="1" showInputMessage="1" showErrorMessage="1" prompt="Для выбора выполните двойной щелчок левой клавиши мыши по соответствующей ячейке." sqref="S67"/>
    <dataValidation type="textLength" operator="lessThanOrEqual" allowBlank="1" showInputMessage="1" showErrorMessage="1" errorTitle="Ошибка" error="Допускается ввод не более 900 символов!" sqref="R67">
      <formula1>900</formula1>
    </dataValidation>
    <dataValidation allowBlank="1" showInputMessage="1" showErrorMessage="1" prompt="Для выбора выполните двойной щелчок левой клавиши мыши по соответствующей ячейке." sqref="O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K67"/>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Выберите виды деятельности, выполнив двойной щелчок левой кнопки мыши по ячейке." sqref="G67"/>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type="textLength" operator="lessThanOrEqual" allowBlank="1" showInputMessage="1" showErrorMessage="1" errorTitle="Ошибка" error="Допускается ввод не более 900 символов!" sqref="J134">
      <formula1>900</formula1>
    </dataValidation>
    <dataValidation type="textLength" operator="lessThanOrEqual" allowBlank="1" showInputMessage="1" showErrorMessage="1" errorTitle="Ошибка" error="Допускается ввод не более 900 символов!" sqref="W133">
      <formula1>900</formula1>
    </dataValidation>
    <dataValidation type="textLength" operator="lessThanOrEqual" allowBlank="1" showInputMessage="1" showErrorMessage="1" errorTitle="Ошибка" error="Допускается ввод не более 900 символов!" sqref="V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O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K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J65">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V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O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K64"/>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Для выбора выполните двойной щелчок левой клавиши мыши по соответствующей ячейке." sqref="S55"/>
    <dataValidation type="textLength" operator="lessThanOrEqual" allowBlank="1" showInputMessage="1" showErrorMessage="1" errorTitle="Ошибка" error="Допускается ввод не более 900 символов!" sqref="R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type="textLength" operator="lessThanOrEqual" allowBlank="1" showInputMessage="1" showErrorMessage="1" errorTitle="Ошибка" error="Допускается ввод не более 900 символов!" sqref="J55">
      <formula1>900</formula1>
    </dataValidation>
    <dataValidation allowBlank="1" showInputMessage="1" showErrorMessage="1" prompt="Выберите виды деятельности, выполнив двойной щелчок левой кнопки мыши по ячейке." sqref="G55"/>
    <dataValidation allowBlank="1" showInputMessage="1" showErrorMessage="1" prompt="Для выбора выполните двойной щелчок левой клавиши мыши по соответствующей ячейке." sqref="F55"/>
    <dataValidation type="textLength" operator="lessThanOrEqual" allowBlank="1" showInputMessage="1" showErrorMessage="1" errorTitle="Ошибка" error="Допускается ввод не более 900 символов!" sqref="W54">
      <formula1>900</formula1>
    </dataValidation>
    <dataValidation type="textLength" operator="lessThanOrEqual" allowBlank="1" showInputMessage="1" showErrorMessage="1" errorTitle="Ошибка" error="Допускается ввод не более 900 символов!" sqref="V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O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allowBlank="1" showInputMessage="1" showErrorMessage="1" prompt="Для выбора выполните двойной щелчок левой клавиши мыши по соответствующей ячейке." sqref="K54"/>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Выберите виды деятельности, выполнив двойной щелчок левой кнопки мыши по ячейке." sqref="G54"/>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type="textLength" operator="lessThanOrEqual" allowBlank="1" showInputMessage="1" showErrorMessage="1" errorTitle="Ошибка" error="Допускается ввод не более 900 символов!" sqref="J53">
      <formula1>900</formula1>
    </dataValidation>
    <dataValidation allowBlank="1" showInputMessage="1" showErrorMessage="1" prompt="Выберите виды деятельности, выполнив двойной щелчок левой кнопки мыши по ячейке." sqref="G53"/>
    <dataValidation allowBlank="1" showInputMessage="1" showErrorMessage="1" prompt="Для выбора выполните двойной щелчок левой клавиши мыши по соответствующей ячейке." sqref="F53"/>
    <dataValidation type="textLength" operator="lessThanOrEqual" allowBlank="1" showInputMessage="1" showErrorMessage="1" errorTitle="Ошибка" error="Допускается ввод не более 900 символов!" sqref="W52">
      <formula1>900</formula1>
    </dataValidation>
    <dataValidation type="textLength" operator="lessThanOrEqual" allowBlank="1" showInputMessage="1" showErrorMessage="1" errorTitle="Ошибка" error="Допускается ввод не более 900 символов!" sqref="V52">
      <formula1>900</formula1>
    </dataValidation>
    <dataValidation allowBlank="1" showInputMessage="1" showErrorMessage="1" prompt="Для выбора выполните двойной щелчок левой клавиши мыши по соответствующей ячейке." sqref="S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Для выбора выполните двойной щелчок левой клавиши мыши по соответствующей ячейке." sqref="O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allowBlank="1" showInputMessage="1" showErrorMessage="1" prompt="Для выбора выполните двойной щелчок левой клавиши мыши по соответствующей ячейке." sqref="K52"/>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Выберите виды деятельности, выполнив двойной щелчок левой кнопки мыши по ячейке." sqref="G52"/>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type="textLength" operator="lessThanOrEqual" allowBlank="1" showInputMessage="1" showErrorMessage="1" errorTitle="Ошибка" error="Допускается ввод не более 900 символов!" sqref="W35">
      <formula1>900</formula1>
    </dataValidation>
    <dataValidation type="textLength" operator="lessThanOrEqual" allowBlank="1" showInputMessage="1" showErrorMessage="1" errorTitle="Ошибка" error="Допускается ввод не более 900 символов!" sqref="V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O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Для выбора выполните двойной щелчок левой клавиши мыши по соответствующей ячейке." sqref="K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Выберите виды деятельности, выполнив двойной щелчок левой кнопки мыши по ячейке." sqref="G56"/>
    <dataValidation allowBlank="1" showInputMessage="1" showErrorMessage="1" prompt="Для выбора выполните двойной щелчок левой клавиши мыши по соответствующей ячейке." sqref="F56"/>
    <dataValidation allowBlank="1" showInputMessage="1" showErrorMessage="1" prompt="Для выбора выполните двойной щелчок левой клавиши мыши по соответствующей ячейке." sqref="S51"/>
    <dataValidation type="textLength" operator="lessThanOrEqual" allowBlank="1" showInputMessage="1" showErrorMessage="1" errorTitle="Ошибка" error="Допускается ввод не более 900 символов!" sqref="R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type="textLength" operator="lessThanOrEqual" allowBlank="1" showInputMessage="1" showErrorMessage="1" errorTitle="Ошибка" error="Допускается ввод не более 900 символов!" sqref="J51">
      <formula1>900</formula1>
    </dataValidation>
    <dataValidation allowBlank="1" showInputMessage="1" showErrorMessage="1" prompt="Выберите виды деятельности, выполнив двойной щелчок левой кнопки мыши по ячейке." sqref="G51"/>
    <dataValidation allowBlank="1" showInputMessage="1" showErrorMessage="1" prompt="Для выбора выполните двойной щелчок левой клавиши мыши по соответствующей ячейке." sqref="F51"/>
    <dataValidation type="textLength" operator="lessThanOrEqual" allowBlank="1" showInputMessage="1" showErrorMessage="1" errorTitle="Ошибка" error="Допускается ввод не более 900 символов!" sqref="W50">
      <formula1>900</formula1>
    </dataValidation>
    <dataValidation type="textLength" operator="lessThanOrEqual" allowBlank="1" showInputMessage="1" showErrorMessage="1" errorTitle="Ошибка" error="Допускается ввод не более 900 символов!" sqref="V50">
      <formula1>900</formula1>
    </dataValidation>
    <dataValidation allowBlank="1" showInputMessage="1" showErrorMessage="1" prompt="Для выбора выполните двойной щелчок левой клавиши мыши по соответствующей ячейке." sqref="S50"/>
    <dataValidation type="textLength" operator="lessThanOrEqual" allowBlank="1" showInputMessage="1" showErrorMessage="1" errorTitle="Ошибка" error="Допускается ввод не более 900 символов!" sqref="R50">
      <formula1>900</formula1>
    </dataValidation>
    <dataValidation allowBlank="1" showInputMessage="1" showErrorMessage="1" prompt="Для выбора выполните двойной щелчок левой клавиши мыши по соответствующей ячейке." sqref="O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Для выбора выполните двойной щелчок левой клавиши мыши по соответствующей ячейке." sqref="K50"/>
    <dataValidation type="textLength" operator="lessThanOrEqual" allowBlank="1" showInputMessage="1" showErrorMessage="1" errorTitle="Ошибка" error="Допускается ввод не более 900 символов!" sqref="J50">
      <formula1>900</formula1>
    </dataValidation>
    <dataValidation allowBlank="1" showInputMessage="1" showErrorMessage="1" prompt="Выберите виды деятельности, выполнив двойной щелчок левой кнопки мыши по ячейке." sqref="G50"/>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Для выбора выполните двойной щелчок левой клавиши мыши по соответствующей ячейке." sqref="F48"/>
    <dataValidation type="textLength" operator="lessThanOrEqual" allowBlank="1" showInputMessage="1" showErrorMessage="1" errorTitle="Ошибка" error="Допускается ввод не более 900 символов!" sqref="W47">
      <formula1>900</formula1>
    </dataValidation>
    <dataValidation type="textLength" operator="lessThanOrEqual" allowBlank="1" showInputMessage="1" showErrorMessage="1" errorTitle="Ошибка" error="Допускается ввод не более 900 символов!" sqref="V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O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allowBlank="1" showInputMessage="1" showErrorMessage="1" prompt="Для выбора выполните двойной щелчок левой клавиши мыши по соответствующей ячейке." sqref="K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Для выбора выполните двойной щелчок левой клавиши мыши по соответствующей ячейке." sqref="S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5"/>
    <dataValidation type="textLength" operator="lessThanOrEqual" allowBlank="1" showInputMessage="1" showErrorMessage="1" errorTitle="Ошибка" error="Допускается ввод не более 900 символов!" sqref="W44">
      <formula1>900</formula1>
    </dataValidation>
    <dataValidation type="textLength" operator="lessThanOrEqual" allowBlank="1" showInputMessage="1" showErrorMessage="1" errorTitle="Ошибка" error="Допускается ввод не более 900 символов!" sqref="V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O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K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Для выбора выполните двойной щелчок левой клавиши мыши по соответствующей ячейке." sqref="F42"/>
    <dataValidation type="textLength" operator="lessThanOrEqual" allowBlank="1" showInputMessage="1" showErrorMessage="1" errorTitle="Ошибка" error="Допускается ввод не более 900 символов!" sqref="W41">
      <formula1>900</formula1>
    </dataValidation>
    <dataValidation type="textLength" operator="lessThanOrEqual" allowBlank="1" showInputMessage="1" showErrorMessage="1" errorTitle="Ошибка" error="Допускается ввод не более 900 символов!" sqref="V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O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Для выбора выполните двойной щелчок левой клавиши мыши по соответствующей ячейке." sqref="K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39"/>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V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O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K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Для выбора выполните двойной щелчок левой клавиши мыши по соответствующей ячейке." sqref="F34"/>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V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O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K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V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O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K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Для выбора выполните двойной щелчок левой клавиши мыши по соответствующей ячейке." sqref="F28"/>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allowBlank="1" showInputMessage="1" showErrorMessage="1" prompt="Для выбора выполните двойной щелчок левой клавиши мыши по соответствующей ячейке." sqref="S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Для выбора выполните двойной щелчок левой клавиши мыши по соответствующей ячейке." sqref="O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K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Для выбора выполните двойной щелчок левой клавиши мыши по соответствующей ячейке." sqref="S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5"/>
    <dataValidation type="textLength" operator="lessThanOrEqual" allowBlank="1" showInputMessage="1" showErrorMessage="1" errorTitle="Ошибка" error="Допускается ввод не более 900 символов!" sqref="W24">
      <formula1>900</formula1>
    </dataValidation>
    <dataValidation type="textLength" operator="lessThanOrEqual" allowBlank="1" showInputMessage="1" showErrorMessage="1" errorTitle="Ошибка" error="Допускается ввод не более 900 символов!" sqref="V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O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K24"/>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O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K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Выберите виды деятельности, выполнив двойной щелчок левой кнопки мыши по ячейке." sqref="G21"/>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0 E57 E58">
      <formula1>kind_of_tariff_RHEAT</formula1>
    </dataValidation>
    <dataValidation allowBlank="1" showInputMessage="1" showErrorMessage="1" prompt="Выберите виды деятельности, выполнив двойной щелчок левой кнопки мыши по ячейке." sqref="G205:G219 G221:G235 G179:G203 G13:G20 G57 G58:G65 G66 G131:G1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N150 N143:N145 N138:N140 N13:N15 N179:N181 N194:N196 N184:N186 N189:N191 N153:N155 N205:N207 N210:N212 N226:N228 N221:N223 N158:N160 N163:N165 N199:N201 N215:N217 N231:N233 N59:N61">
      <formula1>DESCRIPTION_TERRITORY</formula1>
    </dataValidation>
    <dataValidation type="textLength" operator="lessThanOrEqual" allowBlank="1" showInputMessage="1" showErrorMessage="1" errorTitle="Ошибка" error="Допускается ввод не более 900 символов!" sqref="J138:J139 J13:J14 J148:J149 R148:R149 V148:W148 J143:J144 R138:R139 R13:R14 R143:R144 V138:W138 V13:W13 V143:W143 J179:J180 R179:R180 V179:W179 J184:J185 R184:R185 V184:W184 J194:J195 R194:R195 V194:W194 J189:J190 R189:R190 V189:W189 J153:J154 R153:R154 V153:W153 J205:J206 R205:R206 V205:W205 J210:J211 R210:R211 V210:W210 J226:J227 R226:R227 V226:W226 J221:J222 R221:R222 V221:W221 J158:J159 R158:R159 V158:W158 J163:J164 R163:R164 V163:W163 J199:J200 R199:R200 V199:W199 J215:J216 R215:R216 V215:W215 J231:J232 R231:R232 V231:W231 J59:J60 R59:R60 V59:W59">
      <formula1>900</formula1>
    </dataValidation>
    <dataValidation allowBlank="1" showInputMessage="1" showErrorMessage="1" prompt="Для выбора выполните двойной щелчок левой клавиши мыши по соответствующей ячейке." sqref="K138:K139 K13:K14 K148:K149 O148:O149 S148:S149 K143:K144 O138:O139 O143:O144 S138:S139 S143:S144 O13:O14 S13:S14 K179:K180 O179:O180 S179:S180 K184:K185 O184:O185 S184:S185 K194:K195 O194:O195 S194:S195 K189:K190 O189:O190 S153:S154 S189:S190 K153:K154 O153:O154 O231:O232 O205:O206 S205:S206 O210:O211 S210:S211 K205:K206 K210:K211 S199:S200 K226:K227 O226:O227 K221:K222 O221:O222 S226:S227 O215:O216 S221:S222 O158:O159 S158:S159 K158:K159 K163:K164 O163:O164 S163:S164 F179:F203 K199:K200 O199:O200 F205:F219 S215:S216 K215:K216 F221:F235 S231:S232 K231:K232 F13:F20 F57 F58:F65 F66 F131:F167 K59:K60 O59:O60 S59:S60"/>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Для выбора выполните двойной щелчок левой клавиши мыши по соответствующей ячейке." sqref="K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O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V118">
      <formula1>900</formula1>
    </dataValidation>
    <dataValidation type="textLength" operator="lessThanOrEqual" allowBlank="1" showInputMessage="1" showErrorMessage="1" errorTitle="Ошибка" error="Допускается ввод не более 900 символов!" sqref="W118">
      <formula1>900</formula1>
    </dataValidation>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Для выбора выполните двойной щелчок левой клавиши мыши по соответствующей ячейке." sqref="K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O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V112">
      <formula1>900</formula1>
    </dataValidation>
    <dataValidation type="textLength" operator="lessThanOrEqual" allowBlank="1" showInputMessage="1" showErrorMessage="1" errorTitle="Ошибка" error="Допускается ввод не более 900 символов!" sqref="W112">
      <formula1>900</formula1>
    </dataValidation>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Для выбора выполните двойной щелчок левой клавиши мыши по соответствующей ячейке." sqref="K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Для выбора выполните двойной щелчок левой клавиши мыши по соответствующей ячейке." sqref="K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O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Для выбора выполните двойной щелчок левой клавиши мыши по соответствующей ячейке." sqref="K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O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Для выбора выполните двойной щелчок левой клавиши мыши по соответствующей ячейке." sqref="S96"/>
    <dataValidation type="textLength" operator="lessThanOrEqual" allowBlank="1" showInputMessage="1" showErrorMessage="1" errorTitle="Ошибка" error="Допускается ввод не более 900 символов!" sqref="V96">
      <formula1>900</formula1>
    </dataValidation>
    <dataValidation type="textLength" operator="lessThanOrEqual" allowBlank="1" showInputMessage="1" showErrorMessage="1" errorTitle="Ошибка" error="Допускается ввод не более 900 символов!" sqref="W96">
      <formula1>900</formula1>
    </dataValidation>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Для выбора выполните двойной щелчок левой клавиши мыши по соответствующей ячейке." sqref="K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O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type="textLength" operator="lessThanOrEqual" allowBlank="1" showInputMessage="1" showErrorMessage="1" errorTitle="Ошибка" error="Допускается ввод не более 900 символов!" sqref="V98">
      <formula1>900</formula1>
    </dataValidation>
    <dataValidation type="textLength" operator="lessThanOrEqual" allowBlank="1" showInputMessage="1" showErrorMessage="1" errorTitle="Ошибка" error="Допускается ввод не более 900 символов!" sqref="W98">
      <formula1>900</formula1>
    </dataValidation>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0" hidden="1" customWidth="1"/>
    <col min="4" max="4" width="6.7109375" style="1290" hidden="1" customWidth="1"/>
    <col min="5" max="5" width="3" style="1559" customWidth="1"/>
    <col min="6" max="6" width="6" style="1559" customWidth="1"/>
    <col min="7" max="7" width="37" style="1559" customWidth="1"/>
    <col min="8" max="8" width="16" style="1559" customWidth="1"/>
    <col min="9" max="10" width="19" style="1559" customWidth="1"/>
    <col min="11" max="11" width="24" style="1559" customWidth="1"/>
    <col min="12" max="13" width="25" style="1559" customWidth="1"/>
    <col min="14" max="16" width="17" style="1559" customWidth="1"/>
    <col min="17" max="24" width="19" style="1559" customWidth="1"/>
    <col min="25" max="25" width="7" style="1559" customWidth="1"/>
    <col min="26" max="26" width="3" style="1559" customWidth="1"/>
    <col min="27" max="27" width="6" style="1559" customWidth="1"/>
    <col min="28" max="28" width="34" style="1559" customWidth="1"/>
    <col min="29" max="30" width="8" style="1559" customWidth="1"/>
    <col min="31" max="31" width="9.140625" style="1559" hidden="1"/>
  </cols>
  <sheetData>
    <row r="1" spans="1:31" s="1290" customFormat="1" ht="10.5" hidden="1" customHeight="1">
      <c r="A1" s="822"/>
      <c r="B1" s="822"/>
      <c r="C1" s="822"/>
      <c r="E1" s="471"/>
      <c r="H1" s="1084"/>
      <c r="AE1" s="351" t="s">
        <v>1</v>
      </c>
    </row>
    <row r="2" spans="1:31" ht="10.5" hidden="1" customHeight="1">
      <c r="AE2" s="690">
        <v>0</v>
      </c>
    </row>
    <row r="3" spans="1:31" s="1556" customFormat="1" ht="10.5" hidden="1" customHeight="1">
      <c r="A3" s="822"/>
      <c r="B3" s="822"/>
      <c r="C3" s="822"/>
      <c r="D3" s="351"/>
      <c r="E3" s="296"/>
      <c r="G3" s="1556" t="s">
        <v>1172</v>
      </c>
      <c r="H3" s="1080"/>
      <c r="AE3" s="691">
        <v>0</v>
      </c>
    </row>
    <row r="4" spans="1:31" ht="3" customHeight="1">
      <c r="AE4" s="690">
        <v>3</v>
      </c>
    </row>
    <row r="5" spans="1:31" ht="27.4" customHeight="1">
      <c r="F5" s="40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014"/>
      <c r="H5" s="4014"/>
      <c r="I5" s="4014"/>
      <c r="J5" s="4014"/>
      <c r="K5" s="4014"/>
      <c r="M5" s="516"/>
      <c r="AB5" s="833"/>
      <c r="AE5" s="690">
        <v>26</v>
      </c>
    </row>
    <row r="6" spans="1:31" s="1559" customFormat="1" ht="16.899999999999999" customHeight="1">
      <c r="A6" s="1090"/>
      <c r="B6" s="1090"/>
      <c r="C6" s="1090"/>
      <c r="D6" s="1084"/>
      <c r="F6" s="3987" t="str">
        <f>IF(org=0,"Не определено",org)</f>
        <v>ООО "Смоленскрегионтеплоэнерго"</v>
      </c>
      <c r="G6" s="3987"/>
      <c r="H6" s="3987"/>
      <c r="I6" s="3987"/>
      <c r="J6" s="3987"/>
      <c r="K6" s="3987"/>
      <c r="M6" s="516"/>
      <c r="AB6" s="1072"/>
      <c r="AE6" s="1555">
        <v>16</v>
      </c>
    </row>
    <row r="7" spans="1:31" ht="10.5" customHeight="1">
      <c r="AE7" s="690">
        <v>10</v>
      </c>
    </row>
    <row r="8" spans="1:31" ht="10.5" customHeight="1">
      <c r="A8" s="978"/>
      <c r="B8" s="978"/>
      <c r="C8" s="978"/>
      <c r="F8" s="3870" t="s">
        <v>508</v>
      </c>
      <c r="G8" s="3875"/>
      <c r="H8" s="3875"/>
      <c r="I8" s="3875"/>
      <c r="J8" s="3875"/>
      <c r="K8" s="3875"/>
      <c r="L8" s="3875"/>
      <c r="M8" s="3875"/>
      <c r="N8" s="3875"/>
      <c r="O8" s="3875"/>
      <c r="P8" s="3875"/>
      <c r="Q8" s="3875"/>
      <c r="R8" s="3875"/>
      <c r="S8" s="3875"/>
      <c r="T8" s="3875"/>
      <c r="U8" s="3875"/>
      <c r="V8" s="3875"/>
      <c r="W8" s="3875"/>
      <c r="X8" s="3875"/>
      <c r="Y8" s="3875"/>
      <c r="Z8" s="3875"/>
      <c r="AA8" s="3875"/>
      <c r="AB8" s="3869"/>
      <c r="AE8" s="690">
        <v>10</v>
      </c>
    </row>
    <row r="9" spans="1:31" ht="43.15" customHeight="1">
      <c r="A9" s="832"/>
      <c r="B9" s="832"/>
      <c r="C9" s="832"/>
      <c r="F9" s="3889" t="s">
        <v>75</v>
      </c>
      <c r="G9" s="3889" t="s">
        <v>1172</v>
      </c>
      <c r="H9" s="3967" t="s">
        <v>1173</v>
      </c>
      <c r="I9" s="3889" t="s">
        <v>1174</v>
      </c>
      <c r="J9" s="3889" t="s">
        <v>1175</v>
      </c>
      <c r="K9" s="3889" t="s">
        <v>1176</v>
      </c>
      <c r="L9" s="3889" t="s">
        <v>1177</v>
      </c>
      <c r="M9" s="3889" t="s">
        <v>1178</v>
      </c>
      <c r="N9" s="3995" t="s">
        <v>1179</v>
      </c>
      <c r="O9" s="3995"/>
      <c r="P9" s="3995"/>
      <c r="Q9" s="4047" t="s">
        <v>1180</v>
      </c>
      <c r="R9" s="4048"/>
      <c r="S9" s="4048"/>
      <c r="T9" s="4049"/>
      <c r="U9" s="4047" t="s">
        <v>1181</v>
      </c>
      <c r="V9" s="4048"/>
      <c r="W9" s="4048"/>
      <c r="X9" s="4049"/>
      <c r="Y9" s="3870" t="s">
        <v>1182</v>
      </c>
      <c r="Z9" s="3875"/>
      <c r="AA9" s="3875"/>
      <c r="AB9" s="3869"/>
      <c r="AE9" s="690">
        <v>41</v>
      </c>
    </row>
    <row r="10" spans="1:31" ht="43.15" customHeight="1">
      <c r="A10" s="832"/>
      <c r="B10" s="832"/>
      <c r="C10" s="832"/>
      <c r="F10" s="3967"/>
      <c r="G10" s="3967"/>
      <c r="H10" s="4019"/>
      <c r="I10" s="3967"/>
      <c r="J10" s="3967"/>
      <c r="K10" s="3967"/>
      <c r="L10" s="3967"/>
      <c r="M10" s="3967"/>
      <c r="N10" s="830" t="s">
        <v>1183</v>
      </c>
      <c r="O10" s="830" t="s">
        <v>1184</v>
      </c>
      <c r="P10" s="831" t="s">
        <v>1185</v>
      </c>
      <c r="Q10" s="842" t="s">
        <v>76</v>
      </c>
      <c r="R10" s="842" t="s">
        <v>1186</v>
      </c>
      <c r="S10" s="842" t="s">
        <v>1187</v>
      </c>
      <c r="T10" s="843" t="s">
        <v>1188</v>
      </c>
      <c r="U10" s="842" t="s">
        <v>76</v>
      </c>
      <c r="V10" s="842" t="s">
        <v>1189</v>
      </c>
      <c r="W10" s="842" t="s">
        <v>1187</v>
      </c>
      <c r="X10" s="843" t="s">
        <v>1188</v>
      </c>
      <c r="Y10" s="236" t="s">
        <v>1190</v>
      </c>
      <c r="Z10" s="3870" t="s">
        <v>75</v>
      </c>
      <c r="AA10" s="3869"/>
      <c r="AB10" s="976" t="s">
        <v>1191</v>
      </c>
      <c r="AE10" s="690">
        <v>41</v>
      </c>
    </row>
    <row r="11" spans="1:31" s="1566" customFormat="1" ht="5.25" hidden="1" customHeight="1">
      <c r="A11" s="979"/>
      <c r="B11" s="979"/>
      <c r="C11" s="979"/>
      <c r="E11" s="977"/>
      <c r="F11" s="4149" t="s">
        <v>584</v>
      </c>
      <c r="G11" s="4151"/>
      <c r="H11" s="4147"/>
      <c r="I11" s="4147"/>
      <c r="J11" s="4147"/>
      <c r="K11" s="4150"/>
      <c r="L11" s="4150"/>
      <c r="M11" s="4150"/>
      <c r="N11" s="4147"/>
      <c r="O11" s="4147"/>
      <c r="P11" s="3889"/>
      <c r="Q11" s="3977"/>
      <c r="R11" s="3977"/>
      <c r="S11" s="3977"/>
      <c r="T11" s="4147"/>
      <c r="U11" s="3977"/>
      <c r="V11" s="3977"/>
      <c r="W11" s="3977"/>
      <c r="X11" s="4147"/>
      <c r="Y11" s="3900"/>
      <c r="Z11" s="3900"/>
      <c r="AA11" s="3900"/>
      <c r="AB11" s="3900"/>
      <c r="AD11" s="445" t="s">
        <v>1192</v>
      </c>
      <c r="AE11" s="445">
        <v>0</v>
      </c>
    </row>
    <row r="12" spans="1:31" s="1566" customFormat="1" ht="5.25" hidden="1" customHeight="1">
      <c r="A12" s="823"/>
      <c r="B12" s="823"/>
      <c r="C12" s="823"/>
      <c r="E12" s="452"/>
      <c r="F12" s="4149"/>
      <c r="G12" s="4151"/>
      <c r="H12" s="4147"/>
      <c r="I12" s="4147"/>
      <c r="J12" s="4147"/>
      <c r="K12" s="4150"/>
      <c r="L12" s="4150"/>
      <c r="M12" s="4150"/>
      <c r="N12" s="4147"/>
      <c r="O12" s="4147"/>
      <c r="P12" s="3889"/>
      <c r="Q12" s="3977"/>
      <c r="R12" s="3977"/>
      <c r="S12" s="3977"/>
      <c r="T12" s="4147"/>
      <c r="U12" s="3977"/>
      <c r="V12" s="3977"/>
      <c r="W12" s="3977"/>
      <c r="X12" s="4147"/>
      <c r="Y12" s="4148"/>
      <c r="Z12" s="4148"/>
      <c r="AA12" s="4148"/>
      <c r="AB12" s="4148"/>
      <c r="AE12" s="445">
        <v>0</v>
      </c>
    </row>
    <row r="13" spans="1:31" ht="10.5" customHeight="1">
      <c r="F13" s="829"/>
      <c r="G13" s="584" t="s">
        <v>1193</v>
      </c>
      <c r="H13" s="1092"/>
      <c r="I13" s="506"/>
      <c r="J13" s="506"/>
      <c r="K13" s="506"/>
      <c r="L13" s="506"/>
      <c r="M13" s="506"/>
      <c r="N13" s="506"/>
      <c r="O13" s="506"/>
      <c r="P13" s="506"/>
      <c r="Q13" s="506"/>
      <c r="R13" s="506"/>
      <c r="S13" s="506"/>
      <c r="T13" s="506"/>
      <c r="U13" s="506"/>
      <c r="V13" s="506"/>
      <c r="W13" s="506"/>
      <c r="X13" s="506"/>
      <c r="Y13" s="506"/>
      <c r="Z13" s="630"/>
      <c r="AA13" s="630"/>
      <c r="AB13" s="844"/>
      <c r="AE13" s="690">
        <v>10</v>
      </c>
    </row>
    <row r="14" spans="1:31" ht="10.5" customHeight="1">
      <c r="AE14" s="690">
        <v>10</v>
      </c>
    </row>
    <row r="15" spans="1:31" s="1566" customFormat="1" ht="10.5" customHeight="1">
      <c r="A15" s="1091"/>
      <c r="B15" s="1091"/>
      <c r="C15" s="1091"/>
      <c r="E15" s="452"/>
      <c r="H15" s="445">
        <f>IFERROR(MATCH("нет",IP_MAIN_DIFFERENTIATION_EVENTS_FLAG,0),0)</f>
        <v>0</v>
      </c>
      <c r="AE15" s="445">
        <v>10</v>
      </c>
    </row>
    <row r="16" spans="1:31" ht="10.5" hidden="1" customHeight="1">
      <c r="A16" s="822" t="s">
        <v>69</v>
      </c>
      <c r="B16" s="822">
        <v>0</v>
      </c>
      <c r="C16" s="822">
        <v>0</v>
      </c>
      <c r="D16" s="351">
        <v>0</v>
      </c>
      <c r="E16" s="443">
        <v>3</v>
      </c>
      <c r="F16" s="690">
        <v>6</v>
      </c>
      <c r="G16" s="690">
        <v>37</v>
      </c>
      <c r="H16" s="1079">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14" style="1559" customWidth="1"/>
    <col min="7" max="7" width="3" style="1559" customWidth="1"/>
    <col min="8" max="8" width="7" style="1559" customWidth="1"/>
    <col min="9" max="10" width="16" style="1559" customWidth="1"/>
    <col min="11" max="11" width="25" style="1559" customWidth="1"/>
    <col min="12" max="12" width="7" style="1559" customWidth="1"/>
    <col min="13" max="13" width="15" style="1559" customWidth="1"/>
    <col min="14" max="14" width="3" style="1559" customWidth="1"/>
    <col min="15" max="15" width="4" style="1559" customWidth="1"/>
    <col min="16" max="16" width="8" style="1559" customWidth="1"/>
    <col min="17" max="17" width="21" style="1559" customWidth="1"/>
    <col min="18" max="18" width="14" style="1559" customWidth="1"/>
    <col min="19" max="20" width="17" style="1559" customWidth="1"/>
    <col min="21" max="21" width="9" style="1559" customWidth="1"/>
    <col min="22" max="22" width="12" style="1559" customWidth="1"/>
    <col min="23" max="23" width="9" style="1559" customWidth="1"/>
    <col min="24" max="24" width="21" style="1559" customWidth="1"/>
    <col min="25" max="25" width="12" style="1559" customWidth="1"/>
    <col min="26" max="26" width="3" style="1559" customWidth="1"/>
    <col min="27" max="27" width="6" style="1559" customWidth="1"/>
    <col min="28" max="28" width="38" style="1559" customWidth="1"/>
    <col min="29" max="29" width="15" style="1559" customWidth="1"/>
    <col min="30" max="30" width="37.5703125" style="1559" hidden="1" customWidth="1"/>
    <col min="31" max="31" width="15.7109375" style="1559" hidden="1" customWidth="1"/>
    <col min="32" max="34" width="16" style="1559" customWidth="1"/>
    <col min="35" max="37" width="16.7109375" style="1559" hidden="1" customWidth="1"/>
    <col min="38" max="58" width="8" style="1559" customWidth="1"/>
    <col min="59" max="59" width="9.140625" style="1559" hidden="1"/>
  </cols>
  <sheetData>
    <row r="1" spans="1:59" s="1290" customFormat="1" ht="10.5" hidden="1" customHeight="1">
      <c r="A1" s="822"/>
      <c r="B1" s="822"/>
      <c r="C1" s="822"/>
      <c r="E1" s="471"/>
      <c r="H1" s="1084"/>
      <c r="L1" s="1052"/>
      <c r="M1" s="1052"/>
      <c r="AD1" s="1052"/>
      <c r="AH1" s="1071"/>
      <c r="AI1" s="1064"/>
      <c r="BG1" s="351" t="s">
        <v>1</v>
      </c>
    </row>
    <row r="2" spans="1:59" ht="10.5" hidden="1" customHeight="1">
      <c r="BG2" s="690">
        <v>0</v>
      </c>
    </row>
    <row r="3" spans="1:59" s="1556" customFormat="1" ht="10.5" hidden="1" customHeight="1">
      <c r="A3" s="822"/>
      <c r="B3" s="822"/>
      <c r="C3" s="822"/>
      <c r="D3" s="351"/>
      <c r="E3" s="296"/>
      <c r="H3" s="1080"/>
      <c r="L3" s="1050"/>
      <c r="M3" s="1050"/>
      <c r="AD3" s="1050"/>
      <c r="AH3" s="1069"/>
      <c r="AI3" s="1062"/>
      <c r="BG3" s="691">
        <v>0</v>
      </c>
    </row>
    <row r="4" spans="1:59" ht="3" customHeight="1">
      <c r="BG4" s="690">
        <v>3</v>
      </c>
    </row>
    <row r="5" spans="1:59" ht="27.4" customHeight="1">
      <c r="F5" s="40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014"/>
      <c r="H5" s="4014"/>
      <c r="I5" s="4014"/>
      <c r="J5" s="4014"/>
      <c r="K5" s="4014"/>
      <c r="L5" s="1059"/>
      <c r="M5" s="1059"/>
      <c r="AG5" s="833"/>
      <c r="AH5" s="1072"/>
      <c r="BG5" s="690">
        <v>26</v>
      </c>
    </row>
    <row r="6" spans="1:59" ht="10.5" customHeight="1">
      <c r="F6" s="3987" t="str">
        <f>IF(org=0,"Не определено",org)</f>
        <v>ООО "Смоленскрегионтеплоэнерго"</v>
      </c>
      <c r="G6" s="3987"/>
      <c r="H6" s="3987"/>
      <c r="I6" s="3987"/>
      <c r="J6" s="3987"/>
      <c r="K6" s="3987"/>
      <c r="L6" s="1060"/>
      <c r="M6" s="1060"/>
      <c r="BG6" s="690">
        <v>10</v>
      </c>
    </row>
    <row r="7" spans="1:59" ht="11.45" customHeight="1">
      <c r="E7" s="835"/>
      <c r="F7" s="846"/>
      <c r="G7" s="846"/>
      <c r="H7" s="1108"/>
      <c r="I7" s="846"/>
      <c r="J7" s="846"/>
      <c r="K7" s="848"/>
      <c r="L7" s="1057"/>
      <c r="M7" s="1057"/>
      <c r="N7" s="846"/>
      <c r="O7" s="846"/>
      <c r="P7" s="846"/>
      <c r="Q7" s="848"/>
      <c r="R7" s="846"/>
      <c r="S7" s="846"/>
      <c r="T7" s="846"/>
      <c r="U7" s="846"/>
      <c r="V7" s="846"/>
      <c r="W7" s="846"/>
      <c r="X7" s="846"/>
      <c r="Y7" s="846"/>
      <c r="Z7" s="846"/>
      <c r="AA7" s="846"/>
      <c r="AB7" s="846"/>
      <c r="AC7" s="847"/>
      <c r="AD7" s="1056"/>
      <c r="AE7" s="847"/>
      <c r="AF7" s="846"/>
      <c r="AG7" s="846"/>
      <c r="AH7" s="1074"/>
      <c r="AI7" s="1067"/>
      <c r="AJ7" s="846"/>
      <c r="AK7" s="846"/>
      <c r="AL7" s="837"/>
      <c r="AM7" s="837"/>
      <c r="AN7" s="837"/>
      <c r="AO7" s="834"/>
      <c r="AP7" s="834"/>
      <c r="AQ7" s="834"/>
      <c r="AR7" s="834"/>
      <c r="AS7" s="834"/>
      <c r="AT7" s="834"/>
      <c r="AU7" s="834"/>
      <c r="AV7" s="834"/>
      <c r="AW7" s="834"/>
      <c r="AX7" s="834"/>
      <c r="AY7" s="834"/>
      <c r="AZ7" s="834"/>
      <c r="BA7" s="834"/>
      <c r="BB7" s="834"/>
      <c r="BC7" s="834"/>
      <c r="BD7" s="834"/>
      <c r="BE7" s="834"/>
      <c r="BF7" s="834"/>
      <c r="BG7" s="690">
        <v>11</v>
      </c>
    </row>
    <row r="8" spans="1:59" ht="10.5" customHeight="1">
      <c r="E8" s="835"/>
      <c r="F8" s="4154" t="s">
        <v>508</v>
      </c>
      <c r="G8" s="4155"/>
      <c r="H8" s="4155"/>
      <c r="I8" s="4155"/>
      <c r="J8" s="4155"/>
      <c r="K8" s="4155"/>
      <c r="L8" s="4155"/>
      <c r="M8" s="4155"/>
      <c r="N8" s="4155"/>
      <c r="O8" s="4155"/>
      <c r="P8" s="4155"/>
      <c r="Q8" s="4155"/>
      <c r="R8" s="4155"/>
      <c r="S8" s="4155"/>
      <c r="T8" s="4155"/>
      <c r="U8" s="4155"/>
      <c r="V8" s="4155"/>
      <c r="W8" s="4155"/>
      <c r="X8" s="4155"/>
      <c r="Y8" s="4155"/>
      <c r="Z8" s="4155"/>
      <c r="AA8" s="4155"/>
      <c r="AB8" s="4155"/>
      <c r="AC8" s="4155"/>
      <c r="AD8" s="4155"/>
      <c r="AE8" s="4155"/>
      <c r="AF8" s="4155"/>
      <c r="AG8" s="4155"/>
      <c r="AH8" s="4155"/>
      <c r="AI8" s="4155"/>
      <c r="AJ8" s="4155"/>
      <c r="AK8" s="4156"/>
      <c r="AL8" s="836"/>
      <c r="AM8" s="834"/>
      <c r="AN8" s="834"/>
      <c r="AO8" s="834"/>
      <c r="AP8" s="834"/>
      <c r="AQ8" s="834"/>
      <c r="AR8" s="834"/>
      <c r="AS8" s="834"/>
      <c r="AT8" s="834"/>
      <c r="AU8" s="834"/>
      <c r="AV8" s="834"/>
      <c r="AW8" s="834"/>
      <c r="AX8" s="834"/>
      <c r="AY8" s="834"/>
      <c r="AZ8" s="834"/>
      <c r="BA8" s="834"/>
      <c r="BB8" s="834"/>
      <c r="BC8" s="834"/>
      <c r="BD8" s="834"/>
      <c r="BE8" s="834"/>
      <c r="BF8" s="834"/>
      <c r="BG8" s="690">
        <v>10</v>
      </c>
    </row>
    <row r="9" spans="1:59" ht="24" customHeight="1">
      <c r="A9" s="832"/>
      <c r="B9" s="832"/>
      <c r="C9" s="832"/>
      <c r="E9" s="835"/>
      <c r="F9" s="3995" t="s">
        <v>1194</v>
      </c>
      <c r="G9" s="4095" t="s">
        <v>1195</v>
      </c>
      <c r="H9" s="4136"/>
      <c r="I9" s="3889" t="s">
        <v>1196</v>
      </c>
      <c r="J9" s="3889"/>
      <c r="K9" s="3889" t="s">
        <v>1197</v>
      </c>
      <c r="L9" s="3889"/>
      <c r="M9" s="3889"/>
      <c r="N9" s="3889"/>
      <c r="O9" s="3889"/>
      <c r="P9" s="3889"/>
      <c r="Q9" s="3889"/>
      <c r="R9" s="3889"/>
      <c r="S9" s="3889"/>
      <c r="T9" s="3889"/>
      <c r="U9" s="3889"/>
      <c r="V9" s="3889"/>
      <c r="W9" s="3889"/>
      <c r="X9" s="3889"/>
      <c r="Y9" s="3889"/>
      <c r="Z9" s="3968" t="s">
        <v>1198</v>
      </c>
      <c r="AA9" s="3969"/>
      <c r="AB9" s="3889" t="s">
        <v>1199</v>
      </c>
      <c r="AC9" s="3889"/>
      <c r="AD9" s="3889"/>
      <c r="AE9" s="3889"/>
      <c r="AF9" s="3967" t="s">
        <v>1200</v>
      </c>
      <c r="AG9" s="3889" t="s">
        <v>1201</v>
      </c>
      <c r="AH9" s="3889"/>
      <c r="AI9" s="3967" t="s">
        <v>1202</v>
      </c>
      <c r="AJ9" s="3889" t="s">
        <v>1203</v>
      </c>
      <c r="AK9" s="3889"/>
      <c r="AL9" s="1066"/>
      <c r="AM9" s="834"/>
      <c r="AN9" s="834"/>
      <c r="AO9" s="834"/>
      <c r="AP9" s="834"/>
      <c r="AQ9" s="834"/>
      <c r="AR9" s="834"/>
      <c r="AS9" s="834"/>
      <c r="AT9" s="834"/>
      <c r="AU9" s="834"/>
      <c r="AV9" s="834"/>
      <c r="AW9" s="834"/>
      <c r="AX9" s="834"/>
      <c r="AY9" s="834"/>
      <c r="AZ9" s="834"/>
      <c r="BA9" s="834"/>
      <c r="BB9" s="834"/>
      <c r="BC9" s="834"/>
      <c r="BD9" s="834"/>
      <c r="BE9" s="834"/>
      <c r="BF9" s="834"/>
      <c r="BG9" s="690">
        <v>23</v>
      </c>
    </row>
    <row r="10" spans="1:59" ht="25.15" customHeight="1">
      <c r="A10" s="832"/>
      <c r="B10" s="832"/>
      <c r="C10" s="832"/>
      <c r="E10" s="839"/>
      <c r="F10" s="3995"/>
      <c r="G10" s="4096"/>
      <c r="H10" s="3999"/>
      <c r="I10" s="3889"/>
      <c r="J10" s="3889"/>
      <c r="K10" s="3889" t="s">
        <v>1204</v>
      </c>
      <c r="L10" s="3870" t="s">
        <v>1205</v>
      </c>
      <c r="M10" s="3869"/>
      <c r="N10" s="3889" t="s">
        <v>1206</v>
      </c>
      <c r="O10" s="3889"/>
      <c r="P10" s="3889"/>
      <c r="Q10" s="3889"/>
      <c r="R10" s="3889"/>
      <c r="S10" s="3889"/>
      <c r="T10" s="3889"/>
      <c r="U10" s="3889"/>
      <c r="V10" s="3889"/>
      <c r="W10" s="3889"/>
      <c r="X10" s="3889"/>
      <c r="Y10" s="3889"/>
      <c r="Z10" s="3970"/>
      <c r="AA10" s="3971"/>
      <c r="AB10" s="3889"/>
      <c r="AC10" s="3889"/>
      <c r="AD10" s="3889"/>
      <c r="AE10" s="3889"/>
      <c r="AF10" s="3972"/>
      <c r="AG10" s="3889"/>
      <c r="AH10" s="3889"/>
      <c r="AI10" s="3972"/>
      <c r="AJ10" s="3889"/>
      <c r="AK10" s="3889"/>
      <c r="AL10" s="1066"/>
      <c r="AM10" s="840"/>
      <c r="AN10" s="840"/>
      <c r="AO10" s="840"/>
      <c r="AP10" s="840"/>
      <c r="AQ10" s="840"/>
      <c r="AR10" s="840"/>
      <c r="AS10" s="840"/>
      <c r="AT10" s="840"/>
      <c r="AU10" s="840"/>
      <c r="AV10" s="840"/>
      <c r="AW10" s="840"/>
      <c r="AX10" s="840"/>
      <c r="AY10" s="840"/>
      <c r="AZ10" s="840"/>
      <c r="BA10" s="840"/>
      <c r="BB10" s="840"/>
      <c r="BC10" s="840"/>
      <c r="BD10" s="840"/>
      <c r="BE10" s="840"/>
      <c r="BF10" s="840"/>
      <c r="BG10" s="690">
        <v>24</v>
      </c>
    </row>
    <row r="11" spans="1:59" s="1559" customFormat="1" ht="25.15" customHeight="1">
      <c r="A11" s="1053"/>
      <c r="B11" s="1053"/>
      <c r="C11" s="1053"/>
      <c r="D11" s="1052"/>
      <c r="E11" s="1054"/>
      <c r="F11" s="3995"/>
      <c r="G11" s="4096"/>
      <c r="H11" s="3999"/>
      <c r="I11" s="3889"/>
      <c r="J11" s="3889"/>
      <c r="K11" s="3889"/>
      <c r="L11" s="3967" t="s">
        <v>1207</v>
      </c>
      <c r="M11" s="3967" t="s">
        <v>1208</v>
      </c>
      <c r="N11" s="3889" t="s">
        <v>1209</v>
      </c>
      <c r="O11" s="3889"/>
      <c r="P11" s="3951" t="s">
        <v>1190</v>
      </c>
      <c r="Q11" s="3951" t="s">
        <v>1210</v>
      </c>
      <c r="R11" s="3951" t="s">
        <v>1211</v>
      </c>
      <c r="S11" s="3951" t="s">
        <v>1212</v>
      </c>
      <c r="T11" s="3951"/>
      <c r="U11" s="3951"/>
      <c r="V11" s="3951"/>
      <c r="W11" s="3951"/>
      <c r="X11" s="3951"/>
      <c r="Y11" s="3951"/>
      <c r="Z11" s="3970"/>
      <c r="AA11" s="3971"/>
      <c r="AB11" s="3889" t="s">
        <v>1213</v>
      </c>
      <c r="AC11" s="3889"/>
      <c r="AD11" s="3870" t="s">
        <v>1214</v>
      </c>
      <c r="AE11" s="3869"/>
      <c r="AF11" s="3972"/>
      <c r="AG11" s="3889"/>
      <c r="AH11" s="3889"/>
      <c r="AI11" s="3972"/>
      <c r="AJ11" s="3889"/>
      <c r="AK11" s="3889"/>
      <c r="AL11" s="1066"/>
      <c r="AM11" s="1051"/>
      <c r="AN11" s="1051"/>
      <c r="AO11" s="1051"/>
      <c r="AP11" s="1051"/>
      <c r="AQ11" s="1051"/>
      <c r="AR11" s="1051"/>
      <c r="AS11" s="1051"/>
      <c r="AT11" s="1051"/>
      <c r="AU11" s="1051"/>
      <c r="AV11" s="1051"/>
      <c r="AW11" s="1051"/>
      <c r="AX11" s="1051"/>
      <c r="AY11" s="1051"/>
      <c r="AZ11" s="1051"/>
      <c r="BA11" s="1051"/>
      <c r="BB11" s="1051"/>
      <c r="BC11" s="1051"/>
      <c r="BD11" s="1051"/>
      <c r="BE11" s="1051"/>
      <c r="BF11" s="1051"/>
      <c r="BG11" s="1049">
        <v>24</v>
      </c>
    </row>
    <row r="12" spans="1:59" ht="35.65" customHeight="1">
      <c r="A12" s="832"/>
      <c r="B12" s="832"/>
      <c r="C12" s="832"/>
      <c r="E12" s="835"/>
      <c r="F12" s="3995"/>
      <c r="G12" s="4097"/>
      <c r="H12" s="4153"/>
      <c r="I12" s="1077" t="s">
        <v>76</v>
      </c>
      <c r="J12" s="1077" t="s">
        <v>1215</v>
      </c>
      <c r="K12" s="3889"/>
      <c r="L12" s="4019"/>
      <c r="M12" s="4019"/>
      <c r="N12" s="3889"/>
      <c r="O12" s="3889"/>
      <c r="P12" s="3951"/>
      <c r="Q12" s="3951"/>
      <c r="R12" s="3951"/>
      <c r="S12" s="1058" t="s">
        <v>73</v>
      </c>
      <c r="T12" s="1058" t="s">
        <v>74</v>
      </c>
      <c r="U12" s="1058" t="s">
        <v>72</v>
      </c>
      <c r="V12" s="1058" t="s">
        <v>1216</v>
      </c>
      <c r="W12" s="1058" t="s">
        <v>72</v>
      </c>
      <c r="X12" s="1058" t="s">
        <v>1217</v>
      </c>
      <c r="Y12" s="1058" t="s">
        <v>1218</v>
      </c>
      <c r="Z12" s="3973"/>
      <c r="AA12" s="3974"/>
      <c r="AB12" s="1065" t="s">
        <v>1219</v>
      </c>
      <c r="AC12" s="1065" t="s">
        <v>1220</v>
      </c>
      <c r="AD12" s="1065" t="s">
        <v>1219</v>
      </c>
      <c r="AE12" s="1065" t="s">
        <v>1220</v>
      </c>
      <c r="AF12" s="4019"/>
      <c r="AG12" s="1078" t="s">
        <v>1221</v>
      </c>
      <c r="AH12" s="1078" t="s">
        <v>1222</v>
      </c>
      <c r="AI12" s="4019"/>
      <c r="AJ12" s="1078" t="s">
        <v>1221</v>
      </c>
      <c r="AK12" s="1078" t="s">
        <v>1222</v>
      </c>
      <c r="AL12" s="1066"/>
      <c r="AM12" s="834"/>
      <c r="AN12" s="834"/>
      <c r="AO12" s="834"/>
      <c r="AP12" s="834"/>
      <c r="AQ12" s="834"/>
      <c r="AR12" s="834"/>
      <c r="AS12" s="834"/>
      <c r="AT12" s="834"/>
      <c r="AU12" s="834"/>
      <c r="AV12" s="834"/>
      <c r="AW12" s="834"/>
      <c r="AX12" s="834"/>
      <c r="AY12" s="834"/>
      <c r="AZ12" s="834"/>
      <c r="BA12" s="834"/>
      <c r="BB12" s="834"/>
      <c r="BC12" s="834"/>
      <c r="BD12" s="834"/>
      <c r="BE12" s="834"/>
      <c r="BF12" s="834"/>
      <c r="BG12" s="690">
        <v>34</v>
      </c>
    </row>
    <row r="13" spans="1:59" ht="1.1499999999999999" customHeight="1">
      <c r="E13" s="835"/>
      <c r="F13" s="1048">
        <v>0</v>
      </c>
      <c r="G13" s="1048"/>
      <c r="H13" s="1048"/>
      <c r="I13" s="1048"/>
      <c r="J13" s="1048"/>
      <c r="K13" s="1055"/>
      <c r="L13" s="1055"/>
      <c r="M13" s="1055"/>
      <c r="N13" s="1055"/>
      <c r="O13" s="1055"/>
      <c r="P13" s="1055"/>
      <c r="Q13" s="1055"/>
      <c r="R13" s="1055"/>
      <c r="S13" s="1055"/>
      <c r="T13" s="1055"/>
      <c r="U13" s="1055"/>
      <c r="V13" s="1055"/>
      <c r="W13" s="1055"/>
      <c r="X13" s="1055"/>
      <c r="Y13" s="1055"/>
      <c r="Z13" s="1055"/>
      <c r="AA13" s="1055"/>
      <c r="AB13" s="1055"/>
      <c r="AC13" s="1055"/>
      <c r="AD13" s="1055"/>
      <c r="AE13" s="1055"/>
      <c r="AF13" s="1055"/>
      <c r="AG13" s="1055"/>
      <c r="AH13" s="1073"/>
      <c r="AI13" s="1066"/>
      <c r="AJ13" s="1055"/>
      <c r="AK13" s="1055"/>
      <c r="AL13" s="836"/>
      <c r="AM13" s="834"/>
      <c r="AN13" s="834"/>
      <c r="AO13" s="834"/>
      <c r="AP13" s="834"/>
      <c r="AQ13" s="834"/>
      <c r="AR13" s="834"/>
      <c r="AS13" s="834"/>
      <c r="AT13" s="834"/>
      <c r="AU13" s="834"/>
      <c r="AV13" s="834"/>
      <c r="AW13" s="834"/>
      <c r="AX13" s="834"/>
      <c r="AY13" s="834"/>
      <c r="AZ13" s="834"/>
      <c r="BA13" s="834"/>
      <c r="BB13" s="834"/>
      <c r="BC13" s="834"/>
      <c r="BD13" s="834"/>
      <c r="BE13" s="834"/>
      <c r="BF13" s="834"/>
      <c r="BG13" s="690">
        <v>1</v>
      </c>
    </row>
    <row r="14" spans="1:59" ht="10.5" customHeight="1">
      <c r="E14" s="834"/>
      <c r="F14" s="845"/>
      <c r="G14" s="845"/>
      <c r="H14" s="1096"/>
      <c r="I14" s="845"/>
      <c r="J14" s="845"/>
      <c r="K14" s="845"/>
      <c r="L14" s="1055"/>
      <c r="M14" s="1055"/>
      <c r="N14" s="845"/>
      <c r="O14" s="845"/>
      <c r="P14" s="845"/>
      <c r="Q14" s="845"/>
      <c r="R14" s="845"/>
      <c r="S14" s="845"/>
      <c r="T14" s="845"/>
      <c r="U14" s="845"/>
      <c r="V14" s="845"/>
      <c r="W14" s="845"/>
      <c r="X14" s="845"/>
      <c r="Y14" s="845"/>
      <c r="Z14" s="845"/>
      <c r="AA14" s="845"/>
      <c r="AB14" s="845"/>
      <c r="AC14" s="845"/>
      <c r="AD14" s="1055"/>
      <c r="AE14" s="845"/>
      <c r="AF14" s="845"/>
      <c r="AG14" s="845"/>
      <c r="AH14" s="1073"/>
      <c r="AI14" s="1066"/>
      <c r="AJ14" s="845"/>
      <c r="AK14" s="845"/>
      <c r="AL14" s="834"/>
      <c r="AM14" s="834"/>
      <c r="AN14" s="834"/>
      <c r="AO14" s="834"/>
      <c r="AP14" s="834"/>
      <c r="AQ14" s="834"/>
      <c r="AR14" s="834"/>
      <c r="AS14" s="834"/>
      <c r="AT14" s="834"/>
      <c r="AU14" s="834"/>
      <c r="AV14" s="834"/>
      <c r="AW14" s="834"/>
      <c r="AX14" s="834"/>
      <c r="AY14" s="834"/>
      <c r="AZ14" s="834"/>
      <c r="BA14" s="834"/>
      <c r="BB14" s="834"/>
      <c r="BC14" s="834"/>
      <c r="BD14" s="834"/>
      <c r="BE14" s="834"/>
      <c r="BF14" s="834"/>
      <c r="BG14" s="690">
        <v>10</v>
      </c>
    </row>
    <row r="15" spans="1:59" ht="13.5" customHeight="1">
      <c r="E15" s="834"/>
      <c r="F15" s="841" t="s">
        <v>1223</v>
      </c>
      <c r="G15" s="841"/>
      <c r="H15" s="1095"/>
      <c r="I15" s="841"/>
      <c r="J15" s="841"/>
      <c r="K15" s="838"/>
      <c r="L15" s="1051"/>
      <c r="M15" s="1051"/>
      <c r="N15" s="840"/>
      <c r="O15" s="840"/>
      <c r="P15" s="840"/>
      <c r="Q15" s="840"/>
      <c r="R15" s="840"/>
      <c r="S15" s="840"/>
      <c r="T15" s="840"/>
      <c r="U15" s="840"/>
      <c r="V15" s="840"/>
      <c r="W15" s="840"/>
      <c r="X15" s="840"/>
      <c r="Y15" s="840"/>
      <c r="Z15" s="838"/>
      <c r="AA15" s="838"/>
      <c r="AB15" s="838"/>
      <c r="AC15" s="838"/>
      <c r="AD15" s="1051"/>
      <c r="AE15" s="838"/>
      <c r="AF15" s="838"/>
      <c r="AG15" s="838"/>
      <c r="AH15" s="1070"/>
      <c r="AI15" s="1063"/>
      <c r="AJ15" s="838"/>
      <c r="AK15" s="838"/>
      <c r="AL15" s="834"/>
      <c r="AM15" s="834"/>
      <c r="AN15" s="834"/>
      <c r="AO15" s="834"/>
      <c r="AP15" s="834"/>
      <c r="AQ15" s="834"/>
      <c r="AR15" s="834"/>
      <c r="AS15" s="834"/>
      <c r="AT15" s="834"/>
      <c r="AU15" s="834"/>
      <c r="AV15" s="834"/>
      <c r="AW15" s="834"/>
      <c r="AX15" s="834"/>
      <c r="AY15" s="834"/>
      <c r="AZ15" s="834"/>
      <c r="BA15" s="834"/>
      <c r="BB15" s="834"/>
      <c r="BC15" s="834"/>
      <c r="BD15" s="834"/>
      <c r="BE15" s="834"/>
      <c r="BF15" s="834"/>
      <c r="BG15" s="690">
        <v>13</v>
      </c>
    </row>
    <row r="16" spans="1:59" ht="10.5" customHeight="1">
      <c r="BG16" s="690">
        <v>10</v>
      </c>
    </row>
    <row r="17" spans="1:59" ht="10.5" customHeight="1">
      <c r="E17" s="834"/>
      <c r="F17" s="4152"/>
      <c r="G17" s="4152"/>
      <c r="H17" s="4152"/>
      <c r="I17" s="4152"/>
      <c r="J17" s="4152"/>
      <c r="K17" s="838"/>
      <c r="L17" s="1051"/>
      <c r="M17" s="1051"/>
      <c r="N17" s="840"/>
      <c r="O17" s="840"/>
      <c r="P17" s="840"/>
      <c r="Q17" s="840"/>
      <c r="R17" s="840"/>
      <c r="S17" s="840"/>
      <c r="T17" s="840"/>
      <c r="U17" s="840"/>
      <c r="V17" s="840"/>
      <c r="W17" s="840"/>
      <c r="X17" s="840"/>
      <c r="Y17" s="840"/>
      <c r="Z17" s="838"/>
      <c r="AA17" s="838"/>
      <c r="AB17" s="838"/>
      <c r="AC17" s="838"/>
      <c r="AD17" s="1051"/>
      <c r="AE17" s="838"/>
      <c r="AF17" s="838"/>
      <c r="AG17" s="838"/>
      <c r="AH17" s="1070"/>
      <c r="AI17" s="1063"/>
      <c r="AJ17" s="838"/>
      <c r="AK17" s="838"/>
      <c r="AL17" s="834"/>
      <c r="AM17" s="834"/>
      <c r="AN17" s="834"/>
      <c r="AO17" s="834"/>
      <c r="AP17" s="834"/>
      <c r="AQ17" s="834"/>
      <c r="AR17" s="834"/>
      <c r="AS17" s="834"/>
      <c r="AT17" s="834"/>
      <c r="AU17" s="834"/>
      <c r="AV17" s="834"/>
      <c r="AW17" s="834"/>
      <c r="AX17" s="834"/>
      <c r="AY17" s="834"/>
      <c r="AZ17" s="834"/>
      <c r="BA17" s="834"/>
      <c r="BB17" s="834"/>
      <c r="BC17" s="834"/>
      <c r="BD17" s="834"/>
      <c r="BE17" s="834"/>
      <c r="BF17" s="834"/>
      <c r="BG17" s="690">
        <v>10</v>
      </c>
    </row>
    <row r="18" spans="1:59" ht="10.5" customHeight="1">
      <c r="E18" s="834"/>
      <c r="F18" s="4152"/>
      <c r="G18" s="4152"/>
      <c r="H18" s="4152"/>
      <c r="I18" s="4152"/>
      <c r="J18" s="4152"/>
      <c r="K18" s="838"/>
      <c r="L18" s="1051"/>
      <c r="M18" s="1051"/>
      <c r="N18" s="840"/>
      <c r="O18" s="840"/>
      <c r="P18" s="840"/>
      <c r="Q18" s="840"/>
      <c r="R18" s="840"/>
      <c r="S18" s="840"/>
      <c r="T18" s="840"/>
      <c r="U18" s="840"/>
      <c r="V18" s="840"/>
      <c r="W18" s="840"/>
      <c r="X18" s="840"/>
      <c r="Y18" s="840"/>
      <c r="Z18" s="838"/>
      <c r="AA18" s="838"/>
      <c r="AB18" s="838"/>
      <c r="AC18" s="838"/>
      <c r="AD18" s="1051"/>
      <c r="AE18" s="838"/>
      <c r="AF18" s="838"/>
      <c r="AG18" s="838"/>
      <c r="AH18" s="1070"/>
      <c r="AI18" s="1063"/>
      <c r="AJ18" s="838"/>
      <c r="AK18" s="838"/>
      <c r="AL18" s="834"/>
      <c r="AM18" s="834"/>
      <c r="AN18" s="834"/>
      <c r="AO18" s="834"/>
      <c r="AP18" s="834"/>
      <c r="AQ18" s="834"/>
      <c r="AR18" s="834"/>
      <c r="AS18" s="834"/>
      <c r="AT18" s="834"/>
      <c r="AU18" s="834"/>
      <c r="AV18" s="834"/>
      <c r="AW18" s="834"/>
      <c r="AX18" s="834"/>
      <c r="AY18" s="834"/>
      <c r="AZ18" s="834"/>
      <c r="BA18" s="834"/>
      <c r="BB18" s="834"/>
      <c r="BC18" s="834"/>
      <c r="BD18" s="834"/>
      <c r="BE18" s="834"/>
      <c r="BF18" s="834"/>
      <c r="BG18" s="690">
        <v>10</v>
      </c>
    </row>
    <row r="19" spans="1:59" ht="10.5" customHeight="1">
      <c r="E19" s="834"/>
      <c r="F19" s="4152"/>
      <c r="G19" s="4152"/>
      <c r="H19" s="4152"/>
      <c r="I19" s="4152"/>
      <c r="J19" s="4152"/>
      <c r="K19" s="838"/>
      <c r="L19" s="1051"/>
      <c r="M19" s="1051"/>
      <c r="N19" s="840"/>
      <c r="O19" s="840"/>
      <c r="P19" s="840"/>
      <c r="Q19" s="840"/>
      <c r="R19" s="840"/>
      <c r="S19" s="840"/>
      <c r="T19" s="840"/>
      <c r="U19" s="840"/>
      <c r="V19" s="840"/>
      <c r="W19" s="840"/>
      <c r="X19" s="840"/>
      <c r="Y19" s="840"/>
      <c r="Z19" s="838"/>
      <c r="AA19" s="838"/>
      <c r="AB19" s="838"/>
      <c r="AC19" s="838"/>
      <c r="AD19" s="1051"/>
      <c r="AE19" s="838"/>
      <c r="AF19" s="838"/>
      <c r="AG19" s="838"/>
      <c r="AH19" s="1070"/>
      <c r="AI19" s="1063"/>
      <c r="AJ19" s="838"/>
      <c r="AK19" s="838"/>
      <c r="AL19" s="834"/>
      <c r="AM19" s="834"/>
      <c r="AN19" s="834"/>
      <c r="AO19" s="834"/>
      <c r="AP19" s="834"/>
      <c r="AQ19" s="834"/>
      <c r="AR19" s="834"/>
      <c r="AS19" s="834"/>
      <c r="AT19" s="834"/>
      <c r="AU19" s="834"/>
      <c r="AV19" s="834"/>
      <c r="AW19" s="834"/>
      <c r="AX19" s="834"/>
      <c r="AY19" s="834"/>
      <c r="AZ19" s="834"/>
      <c r="BA19" s="834"/>
      <c r="BB19" s="834"/>
      <c r="BC19" s="834"/>
      <c r="BD19" s="834"/>
      <c r="BE19" s="834"/>
      <c r="BF19" s="834"/>
      <c r="BG19" s="690">
        <v>10</v>
      </c>
    </row>
    <row r="20" spans="1:59" ht="10.5" hidden="1" customHeight="1">
      <c r="A20" s="822" t="s">
        <v>69</v>
      </c>
      <c r="B20" s="822">
        <v>0</v>
      </c>
      <c r="C20" s="822">
        <v>0</v>
      </c>
      <c r="D20" s="351">
        <v>0</v>
      </c>
      <c r="E20" s="443">
        <v>3</v>
      </c>
      <c r="F20" s="690">
        <v>14</v>
      </c>
      <c r="G20" s="690">
        <v>3</v>
      </c>
      <c r="H20" s="1079">
        <v>7</v>
      </c>
      <c r="I20" s="690">
        <v>16</v>
      </c>
      <c r="J20" s="690">
        <v>16</v>
      </c>
      <c r="K20" s="690">
        <v>25</v>
      </c>
      <c r="L20" s="1049">
        <v>7</v>
      </c>
      <c r="M20" s="1049">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9">
        <v>0</v>
      </c>
      <c r="AE20" s="690">
        <v>0</v>
      </c>
      <c r="AF20" s="690">
        <v>16</v>
      </c>
      <c r="AG20" s="690">
        <v>16</v>
      </c>
      <c r="AH20" s="1068">
        <v>16</v>
      </c>
      <c r="AI20" s="1061">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6" style="1559" customWidth="1"/>
    <col min="7" max="7" width="60" style="1559" customWidth="1"/>
    <col min="8" max="9" width="21.7109375" style="1559" hidden="1" customWidth="1"/>
    <col min="10" max="10" width="0.140625" style="1559" customWidth="1"/>
    <col min="11" max="11" width="1" style="1559" customWidth="1"/>
    <col min="12" max="22" width="8" style="1559" customWidth="1"/>
    <col min="23" max="23" width="9.140625" style="1559" hidden="1"/>
  </cols>
  <sheetData>
    <row r="1" spans="1:23" s="1290" customFormat="1" ht="10.5" hidden="1" customHeight="1">
      <c r="A1" s="1090"/>
      <c r="B1" s="1090"/>
      <c r="C1" s="1090"/>
      <c r="E1" s="471"/>
      <c r="W1" s="1084" t="s">
        <v>1</v>
      </c>
    </row>
    <row r="2" spans="1:23" ht="10.5" hidden="1" customHeight="1">
      <c r="W2" s="1079">
        <v>0</v>
      </c>
    </row>
    <row r="3" spans="1:23" s="1556" customFormat="1" ht="10.5" hidden="1" customHeight="1">
      <c r="A3" s="1090"/>
      <c r="B3" s="1090"/>
      <c r="C3" s="1090"/>
      <c r="D3" s="1084"/>
      <c r="E3" s="296"/>
      <c r="W3" s="1080">
        <v>0</v>
      </c>
    </row>
    <row r="4" spans="1:23" ht="3" customHeight="1">
      <c r="W4" s="1079">
        <v>3</v>
      </c>
    </row>
    <row r="5" spans="1:23" ht="27.4" customHeight="1">
      <c r="F5" s="401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4014"/>
      <c r="H5" s="4014"/>
      <c r="I5" s="4014"/>
      <c r="J5" s="4014"/>
      <c r="W5" s="1079">
        <v>26</v>
      </c>
    </row>
    <row r="6" spans="1:23" ht="10.5" customHeight="1">
      <c r="F6" s="3987" t="str">
        <f>IF(org=0,"Не определено",org)</f>
        <v>ООО "Смоленскрегионтеплоэнерго"</v>
      </c>
      <c r="G6" s="3987"/>
      <c r="H6" s="3987"/>
      <c r="I6" s="3987"/>
      <c r="J6" s="3987"/>
      <c r="W6" s="1079">
        <v>10</v>
      </c>
    </row>
    <row r="7" spans="1:23" ht="11.45" customHeight="1">
      <c r="E7" s="1094"/>
      <c r="F7" s="1151"/>
      <c r="G7" s="1151"/>
      <c r="H7" s="1151"/>
      <c r="I7" s="1151"/>
      <c r="J7" s="1151"/>
      <c r="K7" s="1081"/>
      <c r="L7" s="1081"/>
      <c r="M7" s="1081"/>
      <c r="N7" s="1081"/>
      <c r="O7" s="1081"/>
      <c r="P7" s="1081"/>
      <c r="Q7" s="1081"/>
      <c r="R7" s="1081"/>
      <c r="S7" s="1081"/>
      <c r="T7" s="1081"/>
      <c r="U7" s="1081"/>
      <c r="V7" s="1081"/>
      <c r="W7" s="1079">
        <v>11</v>
      </c>
    </row>
    <row r="8" spans="1:23" s="1566" customFormat="1" ht="4.1500000000000004" customHeight="1">
      <c r="A8" s="1091"/>
      <c r="B8" s="1091"/>
      <c r="C8" s="1091"/>
      <c r="E8" s="1152"/>
      <c r="F8" s="1153"/>
      <c r="G8" s="1153"/>
      <c r="H8" s="1153"/>
      <c r="I8" s="1153"/>
      <c r="J8" s="1153"/>
      <c r="K8" s="1152"/>
      <c r="L8" s="1152"/>
      <c r="M8" s="1152"/>
      <c r="N8" s="1152"/>
      <c r="O8" s="1152"/>
      <c r="P8" s="1152"/>
      <c r="Q8" s="1152"/>
      <c r="R8" s="1152"/>
      <c r="S8" s="1152"/>
      <c r="T8" s="1152"/>
      <c r="U8" s="1152"/>
      <c r="V8" s="1152"/>
      <c r="W8" s="445">
        <v>4</v>
      </c>
    </row>
    <row r="9" spans="1:23" ht="10.5" customHeight="1">
      <c r="E9" s="1094"/>
      <c r="F9" s="4157" t="s">
        <v>508</v>
      </c>
      <c r="G9" s="4158"/>
      <c r="H9" s="4158"/>
      <c r="I9" s="4158"/>
      <c r="J9" s="4158"/>
      <c r="K9" s="1164"/>
      <c r="L9" s="1081"/>
      <c r="M9" s="1081"/>
      <c r="N9" s="1081"/>
      <c r="O9" s="1081"/>
      <c r="P9" s="1081"/>
      <c r="Q9" s="1081"/>
      <c r="R9" s="1081"/>
      <c r="S9" s="1081"/>
      <c r="T9" s="1081"/>
      <c r="U9" s="1081"/>
      <c r="V9" s="1081"/>
      <c r="W9" s="1079">
        <v>10</v>
      </c>
    </row>
    <row r="10" spans="1:23" ht="25.15" customHeight="1">
      <c r="E10" s="1081"/>
      <c r="F10" s="4161" t="s">
        <v>75</v>
      </c>
      <c r="G10" s="4165" t="s">
        <v>1224</v>
      </c>
      <c r="H10" s="4147" t="s">
        <v>1225</v>
      </c>
      <c r="I10" s="4147"/>
      <c r="J10" s="4147"/>
      <c r="K10" s="1157"/>
      <c r="L10" s="1081"/>
      <c r="M10" s="1081"/>
      <c r="N10" s="1081"/>
      <c r="O10" s="1081"/>
      <c r="P10" s="1081"/>
      <c r="Q10" s="1081"/>
      <c r="R10" s="1081"/>
      <c r="S10" s="1081"/>
      <c r="T10" s="1081"/>
      <c r="U10" s="1081"/>
      <c r="V10" s="1081"/>
      <c r="W10" s="1079">
        <v>24</v>
      </c>
    </row>
    <row r="11" spans="1:23" ht="25.5" customHeight="1">
      <c r="E11" s="1081"/>
      <c r="F11" s="4162"/>
      <c r="G11" s="4165"/>
      <c r="H11" s="4164" t="e">
        <f>INDEX(IP_MAIN_LIST_NAME_IP,MATCH(H8,IP_MAIN_LIST_IP_ID,0))&amp;" ("&amp;INDEX(IP_MAIN_START_DATE,MATCH(H8,IP_MAIN_LIST_IP_ID,0))&amp;"-"&amp;INDEX(IP_MAIN_END_DATE,MATCH(H8,IP_MAIN_LIST_IP_ID,0))&amp;")"</f>
        <v>#N/A</v>
      </c>
      <c r="I11" s="4164"/>
      <c r="J11" s="4164"/>
      <c r="K11" s="1157"/>
      <c r="L11" s="1081"/>
      <c r="M11" s="1081"/>
      <c r="N11" s="1081"/>
      <c r="O11" s="1081"/>
      <c r="P11" s="1081"/>
      <c r="Q11" s="1081"/>
      <c r="R11" s="1081"/>
      <c r="S11" s="1081"/>
      <c r="T11" s="1081"/>
      <c r="U11" s="1081"/>
      <c r="V11" s="1081"/>
      <c r="W11" s="1079">
        <v>24</v>
      </c>
    </row>
    <row r="12" spans="1:23" ht="10.5" customHeight="1">
      <c r="F12" s="4163"/>
      <c r="G12" s="4165"/>
      <c r="H12" s="1150" t="s">
        <v>1226</v>
      </c>
      <c r="I12" s="1156"/>
      <c r="J12" s="1150"/>
      <c r="K12" s="1158"/>
      <c r="W12" s="1079">
        <v>10</v>
      </c>
    </row>
    <row r="13" spans="1:23" ht="10.5" hidden="1" customHeight="1">
      <c r="F13" s="1150">
        <v>1</v>
      </c>
      <c r="G13" s="1150">
        <v>2</v>
      </c>
      <c r="H13" s="1150">
        <v>3</v>
      </c>
      <c r="I13" s="1150">
        <v>4</v>
      </c>
      <c r="J13" s="1150">
        <v>5</v>
      </c>
      <c r="K13" s="1158"/>
      <c r="W13" s="1079">
        <v>0</v>
      </c>
    </row>
    <row r="14" spans="1:23" ht="11.45" customHeight="1">
      <c r="F14" s="1149" t="s">
        <v>1227</v>
      </c>
      <c r="G14" s="4159" t="s">
        <v>1228</v>
      </c>
      <c r="H14" s="4159"/>
      <c r="I14" s="4159"/>
      <c r="J14" s="4159"/>
      <c r="K14" s="1158"/>
      <c r="W14" s="1079">
        <v>11</v>
      </c>
    </row>
    <row r="15" spans="1:23" ht="11.45" customHeight="1">
      <c r="F15" s="1154">
        <v>1</v>
      </c>
      <c r="G15" s="624" t="s">
        <v>1229</v>
      </c>
      <c r="H15" s="1160">
        <f t="shared" ref="H15:H36" si="0">SUM(I15:J15)</f>
        <v>0</v>
      </c>
      <c r="I15" s="1160">
        <f>SUM(I16:I27)</f>
        <v>0</v>
      </c>
      <c r="J15" s="1149"/>
      <c r="K15" s="1158"/>
      <c r="W15" s="1079">
        <v>11</v>
      </c>
    </row>
    <row r="16" spans="1:23" ht="24" customHeight="1">
      <c r="F16" s="1154" t="s">
        <v>1230</v>
      </c>
      <c r="G16" s="1161" t="s">
        <v>1231</v>
      </c>
      <c r="H16" s="1160">
        <f t="shared" si="0"/>
        <v>0</v>
      </c>
      <c r="I16" s="1159"/>
      <c r="J16" s="1149"/>
      <c r="K16" s="1158"/>
      <c r="W16" s="1079">
        <v>23</v>
      </c>
    </row>
    <row r="17" spans="6:23" ht="24" customHeight="1">
      <c r="F17" s="1154" t="s">
        <v>1232</v>
      </c>
      <c r="G17" s="1161" t="s">
        <v>1233</v>
      </c>
      <c r="H17" s="1160">
        <f t="shared" si="0"/>
        <v>0</v>
      </c>
      <c r="I17" s="1159"/>
      <c r="J17" s="1149"/>
      <c r="K17" s="1158"/>
      <c r="W17" s="1079">
        <v>23</v>
      </c>
    </row>
    <row r="18" spans="6:23" ht="35.65" customHeight="1">
      <c r="F18" s="1154" t="s">
        <v>1234</v>
      </c>
      <c r="G18" s="1161" t="s">
        <v>1235</v>
      </c>
      <c r="H18" s="1160">
        <f t="shared" si="0"/>
        <v>0</v>
      </c>
      <c r="I18" s="1159"/>
      <c r="J18" s="1149"/>
      <c r="K18" s="1158"/>
      <c r="W18" s="1079">
        <v>34</v>
      </c>
    </row>
    <row r="19" spans="6:23" ht="35.65" customHeight="1">
      <c r="F19" s="1154" t="s">
        <v>1236</v>
      </c>
      <c r="G19" s="1161" t="s">
        <v>1237</v>
      </c>
      <c r="H19" s="1160">
        <f t="shared" si="0"/>
        <v>0</v>
      </c>
      <c r="I19" s="1159"/>
      <c r="J19" s="1149"/>
      <c r="K19" s="1158"/>
      <c r="W19" s="1079">
        <v>34</v>
      </c>
    </row>
    <row r="20" spans="6:23" ht="48.2" customHeight="1">
      <c r="F20" s="1154" t="s">
        <v>1238</v>
      </c>
      <c r="G20" s="1161" t="s">
        <v>1239</v>
      </c>
      <c r="H20" s="1160">
        <f t="shared" si="0"/>
        <v>0</v>
      </c>
      <c r="I20" s="1159"/>
      <c r="J20" s="1149"/>
      <c r="K20" s="1158"/>
      <c r="W20" s="1079">
        <v>46</v>
      </c>
    </row>
    <row r="21" spans="6:23" ht="35.65" customHeight="1">
      <c r="F21" s="1154" t="s">
        <v>1240</v>
      </c>
      <c r="G21" s="1161" t="s">
        <v>1241</v>
      </c>
      <c r="H21" s="1160">
        <f t="shared" si="0"/>
        <v>0</v>
      </c>
      <c r="I21" s="1159"/>
      <c r="J21" s="1149"/>
      <c r="K21" s="1158"/>
      <c r="W21" s="1079">
        <v>34</v>
      </c>
    </row>
    <row r="22" spans="6:23" ht="35.65" customHeight="1">
      <c r="F22" s="1154" t="s">
        <v>1242</v>
      </c>
      <c r="G22" s="1161" t="s">
        <v>1243</v>
      </c>
      <c r="H22" s="1160">
        <f t="shared" si="0"/>
        <v>0</v>
      </c>
      <c r="I22" s="1159"/>
      <c r="J22" s="1149"/>
      <c r="K22" s="1158"/>
      <c r="W22" s="1079">
        <v>34</v>
      </c>
    </row>
    <row r="23" spans="6:23" ht="24" customHeight="1">
      <c r="F23" s="1154" t="s">
        <v>1244</v>
      </c>
      <c r="G23" s="1161" t="s">
        <v>1245</v>
      </c>
      <c r="H23" s="1160">
        <f t="shared" si="0"/>
        <v>0</v>
      </c>
      <c r="I23" s="1159"/>
      <c r="J23" s="1149"/>
      <c r="K23" s="1158"/>
      <c r="W23" s="1079">
        <v>23</v>
      </c>
    </row>
    <row r="24" spans="6:23" ht="24" customHeight="1">
      <c r="F24" s="1154" t="s">
        <v>1246</v>
      </c>
      <c r="G24" s="1161" t="s">
        <v>1247</v>
      </c>
      <c r="H24" s="1160">
        <f t="shared" si="0"/>
        <v>0</v>
      </c>
      <c r="I24" s="1159"/>
      <c r="J24" s="1149"/>
      <c r="K24" s="1158"/>
      <c r="W24" s="1079">
        <v>23</v>
      </c>
    </row>
    <row r="25" spans="6:23" ht="35.65" customHeight="1">
      <c r="F25" s="1154" t="s">
        <v>1248</v>
      </c>
      <c r="G25" s="1161" t="s">
        <v>1249</v>
      </c>
      <c r="H25" s="1160">
        <f t="shared" si="0"/>
        <v>0</v>
      </c>
      <c r="I25" s="1159"/>
      <c r="J25" s="1149"/>
      <c r="K25" s="1158"/>
      <c r="W25" s="1079">
        <v>34</v>
      </c>
    </row>
    <row r="26" spans="6:23" ht="35.65" customHeight="1">
      <c r="F26" s="1154" t="s">
        <v>1250</v>
      </c>
      <c r="G26" s="1161" t="s">
        <v>1251</v>
      </c>
      <c r="H26" s="1160">
        <f t="shared" si="0"/>
        <v>0</v>
      </c>
      <c r="I26" s="1159"/>
      <c r="J26" s="1149"/>
      <c r="K26" s="1158"/>
      <c r="W26" s="1079">
        <v>34</v>
      </c>
    </row>
    <row r="27" spans="6:23" ht="11.45" customHeight="1">
      <c r="F27" s="1154" t="s">
        <v>1252</v>
      </c>
      <c r="G27" s="1161" t="s">
        <v>1253</v>
      </c>
      <c r="H27" s="1160">
        <f t="shared" si="0"/>
        <v>0</v>
      </c>
      <c r="I27" s="1159"/>
      <c r="J27" s="1149"/>
      <c r="K27" s="1158"/>
      <c r="W27" s="1079">
        <v>11</v>
      </c>
    </row>
    <row r="28" spans="6:23" ht="11.45" customHeight="1">
      <c r="F28" s="1154">
        <v>2</v>
      </c>
      <c r="G28" s="624" t="s">
        <v>1254</v>
      </c>
      <c r="H28" s="1160">
        <f t="shared" si="0"/>
        <v>0</v>
      </c>
      <c r="I28" s="1160">
        <f>SUM(I29:I31)</f>
        <v>0</v>
      </c>
      <c r="J28" s="1149"/>
      <c r="K28" s="1158"/>
      <c r="W28" s="1079">
        <v>11</v>
      </c>
    </row>
    <row r="29" spans="6:23" ht="11.45" customHeight="1">
      <c r="F29" s="1154" t="s">
        <v>917</v>
      </c>
      <c r="G29" s="1161" t="s">
        <v>1255</v>
      </c>
      <c r="H29" s="1160">
        <f t="shared" si="0"/>
        <v>0</v>
      </c>
      <c r="I29" s="1159"/>
      <c r="J29" s="1149"/>
      <c r="K29" s="1158"/>
      <c r="W29" s="1079">
        <v>11</v>
      </c>
    </row>
    <row r="30" spans="6:23" ht="11.45" customHeight="1">
      <c r="F30" s="1154" t="s">
        <v>515</v>
      </c>
      <c r="G30" s="1161" t="s">
        <v>1256</v>
      </c>
      <c r="H30" s="1160">
        <f t="shared" si="0"/>
        <v>0</v>
      </c>
      <c r="I30" s="1159"/>
      <c r="J30" s="1149"/>
      <c r="K30" s="1158"/>
      <c r="W30" s="1079">
        <v>11</v>
      </c>
    </row>
    <row r="31" spans="6:23" ht="11.45" customHeight="1">
      <c r="F31" s="1154" t="s">
        <v>518</v>
      </c>
      <c r="G31" s="1161" t="s">
        <v>1257</v>
      </c>
      <c r="H31" s="1160">
        <f t="shared" si="0"/>
        <v>0</v>
      </c>
      <c r="I31" s="1159"/>
      <c r="J31" s="1149"/>
      <c r="K31" s="1158"/>
      <c r="W31" s="1079">
        <v>11</v>
      </c>
    </row>
    <row r="32" spans="6:23" ht="11.45" customHeight="1">
      <c r="F32" s="1154">
        <v>3</v>
      </c>
      <c r="G32" s="624" t="s">
        <v>1258</v>
      </c>
      <c r="H32" s="1160">
        <f t="shared" si="0"/>
        <v>0</v>
      </c>
      <c r="I32" s="1160">
        <f>SUM(I33:I34)</f>
        <v>0</v>
      </c>
      <c r="J32" s="1149"/>
      <c r="K32" s="1158"/>
      <c r="W32" s="1079">
        <v>11</v>
      </c>
    </row>
    <row r="33" spans="6:23" ht="48.2" customHeight="1">
      <c r="F33" s="1154" t="s">
        <v>532</v>
      </c>
      <c r="G33" s="1161" t="s">
        <v>1259</v>
      </c>
      <c r="H33" s="1160">
        <f t="shared" si="0"/>
        <v>0</v>
      </c>
      <c r="I33" s="1159"/>
      <c r="J33" s="1149"/>
      <c r="K33" s="1158"/>
      <c r="W33" s="1079">
        <v>46</v>
      </c>
    </row>
    <row r="34" spans="6:23" ht="11.45" customHeight="1">
      <c r="F34" s="1154" t="s">
        <v>540</v>
      </c>
      <c r="G34" s="1161" t="s">
        <v>1260</v>
      </c>
      <c r="H34" s="1160">
        <f t="shared" si="0"/>
        <v>0</v>
      </c>
      <c r="I34" s="1159"/>
      <c r="J34" s="1149"/>
      <c r="K34" s="1158"/>
      <c r="W34" s="1079">
        <v>11</v>
      </c>
    </row>
    <row r="35" spans="6:23" ht="11.45" customHeight="1">
      <c r="F35" s="1154">
        <v>4</v>
      </c>
      <c r="G35" s="624" t="s">
        <v>1261</v>
      </c>
      <c r="H35" s="1160">
        <f t="shared" si="0"/>
        <v>0</v>
      </c>
      <c r="I35" s="1159"/>
      <c r="J35" s="1149"/>
      <c r="K35" s="1158"/>
      <c r="W35" s="1079">
        <v>11</v>
      </c>
    </row>
    <row r="36" spans="6:23" ht="11.45" customHeight="1">
      <c r="F36" s="1154"/>
      <c r="G36" s="627" t="s">
        <v>1262</v>
      </c>
      <c r="H36" s="1160">
        <f t="shared" si="0"/>
        <v>0</v>
      </c>
      <c r="I36" s="1160">
        <f>SUM(I15,I28,I32,I35)</f>
        <v>0</v>
      </c>
      <c r="J36" s="1149"/>
      <c r="K36" s="1158"/>
      <c r="W36" s="1079">
        <v>11</v>
      </c>
    </row>
    <row r="37" spans="6:23" ht="29.25" customHeight="1">
      <c r="F37" s="1155" t="s">
        <v>1263</v>
      </c>
      <c r="G37" s="4160" t="s">
        <v>1264</v>
      </c>
      <c r="H37" s="4160"/>
      <c r="I37" s="4160"/>
      <c r="J37" s="4160"/>
      <c r="K37" s="1158"/>
      <c r="W37" s="1079">
        <v>28</v>
      </c>
    </row>
    <row r="38" spans="6:23" ht="24" customHeight="1">
      <c r="F38" s="1154" t="s">
        <v>184</v>
      </c>
      <c r="G38" s="624" t="s">
        <v>1265</v>
      </c>
      <c r="H38" s="1160">
        <f t="shared" ref="H38:H58" si="1">SUM(I38:J38)</f>
        <v>0</v>
      </c>
      <c r="I38" s="1160">
        <f>SUM(I39,I44,I47)</f>
        <v>0</v>
      </c>
      <c r="J38" s="1149"/>
      <c r="K38" s="1158"/>
      <c r="W38" s="1079">
        <v>23</v>
      </c>
    </row>
    <row r="39" spans="6:23" ht="11.45" customHeight="1">
      <c r="F39" s="1154" t="s">
        <v>1230</v>
      </c>
      <c r="G39" s="1161" t="s">
        <v>1229</v>
      </c>
      <c r="H39" s="1160">
        <f t="shared" si="1"/>
        <v>0</v>
      </c>
      <c r="I39" s="1160">
        <f>SUM(I40:I43)</f>
        <v>0</v>
      </c>
      <c r="J39" s="1149"/>
      <c r="K39" s="1158"/>
      <c r="W39" s="1079">
        <v>11</v>
      </c>
    </row>
    <row r="40" spans="6:23" ht="24" customHeight="1">
      <c r="F40" s="1154" t="s">
        <v>1266</v>
      </c>
      <c r="G40" s="1162" t="s">
        <v>1267</v>
      </c>
      <c r="H40" s="1160">
        <f t="shared" si="1"/>
        <v>0</v>
      </c>
      <c r="I40" s="1159"/>
      <c r="J40" s="1149"/>
      <c r="K40" s="1158"/>
      <c r="W40" s="1079">
        <v>23</v>
      </c>
    </row>
    <row r="41" spans="6:23" ht="11.45" customHeight="1">
      <c r="F41" s="1154" t="s">
        <v>1268</v>
      </c>
      <c r="G41" s="1162" t="s">
        <v>1269</v>
      </c>
      <c r="H41" s="1160">
        <f t="shared" si="1"/>
        <v>0</v>
      </c>
      <c r="I41" s="1159"/>
      <c r="J41" s="1149"/>
      <c r="K41" s="1158"/>
      <c r="W41" s="1079">
        <v>11</v>
      </c>
    </row>
    <row r="42" spans="6:23" ht="11.45" customHeight="1">
      <c r="F42" s="1154" t="s">
        <v>1270</v>
      </c>
      <c r="G42" s="1162" t="s">
        <v>1271</v>
      </c>
      <c r="H42" s="1160">
        <f t="shared" si="1"/>
        <v>0</v>
      </c>
      <c r="I42" s="1159"/>
      <c r="J42" s="1149"/>
      <c r="K42" s="1158"/>
      <c r="W42" s="1079">
        <v>11</v>
      </c>
    </row>
    <row r="43" spans="6:23" ht="35.65" customHeight="1">
      <c r="F43" s="1154" t="s">
        <v>1272</v>
      </c>
      <c r="G43" s="1162" t="s">
        <v>1273</v>
      </c>
      <c r="H43" s="1160">
        <f t="shared" si="1"/>
        <v>0</v>
      </c>
      <c r="I43" s="1159"/>
      <c r="J43" s="1149"/>
      <c r="K43" s="1158"/>
      <c r="W43" s="1079">
        <v>34</v>
      </c>
    </row>
    <row r="44" spans="6:23" ht="11.45" customHeight="1">
      <c r="F44" s="1154" t="s">
        <v>1232</v>
      </c>
      <c r="G44" s="1161" t="s">
        <v>1258</v>
      </c>
      <c r="H44" s="1160">
        <f t="shared" si="1"/>
        <v>0</v>
      </c>
      <c r="I44" s="1160">
        <f>SUM(I45:I46)</f>
        <v>0</v>
      </c>
      <c r="J44" s="1149"/>
      <c r="K44" s="1158"/>
      <c r="W44" s="1079">
        <v>11</v>
      </c>
    </row>
    <row r="45" spans="6:23" ht="48.2" customHeight="1">
      <c r="F45" s="1154" t="s">
        <v>1274</v>
      </c>
      <c r="G45" s="1162" t="s">
        <v>1259</v>
      </c>
      <c r="H45" s="1160">
        <f t="shared" si="1"/>
        <v>0</v>
      </c>
      <c r="I45" s="1159"/>
      <c r="J45" s="1149"/>
      <c r="K45" s="1158"/>
      <c r="W45" s="1079">
        <v>46</v>
      </c>
    </row>
    <row r="46" spans="6:23" ht="11.45" customHeight="1">
      <c r="F46" s="1154" t="s">
        <v>1275</v>
      </c>
      <c r="G46" s="1162" t="s">
        <v>1260</v>
      </c>
      <c r="H46" s="1160">
        <f t="shared" si="1"/>
        <v>0</v>
      </c>
      <c r="I46" s="1159"/>
      <c r="J46" s="1149"/>
      <c r="K46" s="1158"/>
      <c r="W46" s="1079">
        <v>11</v>
      </c>
    </row>
    <row r="47" spans="6:23" ht="11.45" customHeight="1">
      <c r="F47" s="1154" t="s">
        <v>1234</v>
      </c>
      <c r="G47" s="1161" t="s">
        <v>1276</v>
      </c>
      <c r="H47" s="1160">
        <f t="shared" si="1"/>
        <v>0</v>
      </c>
      <c r="I47" s="1159"/>
      <c r="J47" s="1149"/>
      <c r="K47" s="1158"/>
      <c r="W47" s="1079">
        <v>11</v>
      </c>
    </row>
    <row r="48" spans="6:23" ht="24" customHeight="1">
      <c r="F48" s="1154" t="s">
        <v>89</v>
      </c>
      <c r="G48" s="624" t="s">
        <v>1277</v>
      </c>
      <c r="H48" s="1160">
        <f t="shared" si="1"/>
        <v>0</v>
      </c>
      <c r="I48" s="1160">
        <f>SUM(I49,I54,I57)</f>
        <v>0</v>
      </c>
      <c r="J48" s="1149"/>
      <c r="K48" s="1158"/>
      <c r="W48" s="1079">
        <v>23</v>
      </c>
    </row>
    <row r="49" spans="1:23" ht="11.45" customHeight="1">
      <c r="F49" s="1154" t="s">
        <v>917</v>
      </c>
      <c r="G49" s="1161" t="s">
        <v>1229</v>
      </c>
      <c r="H49" s="1160">
        <f t="shared" si="1"/>
        <v>0</v>
      </c>
      <c r="I49" s="1160">
        <f>SUM(I50:I53)</f>
        <v>0</v>
      </c>
      <c r="J49" s="1149"/>
      <c r="K49" s="1158"/>
      <c r="W49" s="1079">
        <v>11</v>
      </c>
    </row>
    <row r="50" spans="1:23" ht="24" customHeight="1">
      <c r="F50" s="1154" t="s">
        <v>920</v>
      </c>
      <c r="G50" s="1162" t="s">
        <v>1267</v>
      </c>
      <c r="H50" s="1160">
        <f t="shared" si="1"/>
        <v>0</v>
      </c>
      <c r="I50" s="1159"/>
      <c r="J50" s="1149"/>
      <c r="K50" s="1158"/>
      <c r="W50" s="1079">
        <v>23</v>
      </c>
    </row>
    <row r="51" spans="1:23" ht="11.45" customHeight="1">
      <c r="F51" s="1154" t="s">
        <v>923</v>
      </c>
      <c r="G51" s="1162" t="s">
        <v>1269</v>
      </c>
      <c r="H51" s="1160">
        <f t="shared" si="1"/>
        <v>0</v>
      </c>
      <c r="I51" s="1159"/>
      <c r="J51" s="1149"/>
      <c r="K51" s="1158"/>
      <c r="W51" s="1079">
        <v>11</v>
      </c>
    </row>
    <row r="52" spans="1:23" ht="11.45" customHeight="1">
      <c r="F52" s="1154" t="s">
        <v>1278</v>
      </c>
      <c r="G52" s="1162" t="s">
        <v>1271</v>
      </c>
      <c r="H52" s="1160">
        <f t="shared" si="1"/>
        <v>0</v>
      </c>
      <c r="I52" s="1159"/>
      <c r="J52" s="1149"/>
      <c r="K52" s="1158"/>
      <c r="W52" s="1079">
        <v>11</v>
      </c>
    </row>
    <row r="53" spans="1:23" ht="35.65" customHeight="1">
      <c r="F53" s="1154" t="s">
        <v>1279</v>
      </c>
      <c r="G53" s="1162" t="s">
        <v>1273</v>
      </c>
      <c r="H53" s="1160">
        <f t="shared" si="1"/>
        <v>0</v>
      </c>
      <c r="I53" s="1159"/>
      <c r="J53" s="1149"/>
      <c r="K53" s="1158"/>
      <c r="W53" s="1079">
        <v>34</v>
      </c>
    </row>
    <row r="54" spans="1:23" ht="11.45" customHeight="1">
      <c r="F54" s="1154" t="s">
        <v>515</v>
      </c>
      <c r="G54" s="1161" t="s">
        <v>1258</v>
      </c>
      <c r="H54" s="1160">
        <f t="shared" si="1"/>
        <v>0</v>
      </c>
      <c r="I54" s="1160">
        <f>SUM(I55:I56)</f>
        <v>0</v>
      </c>
      <c r="J54" s="1149"/>
      <c r="K54" s="1158"/>
      <c r="W54" s="1079">
        <v>11</v>
      </c>
    </row>
    <row r="55" spans="1:23" ht="48.2" customHeight="1">
      <c r="F55" s="1154" t="s">
        <v>927</v>
      </c>
      <c r="G55" s="1162" t="s">
        <v>1259</v>
      </c>
      <c r="H55" s="1160">
        <f t="shared" si="1"/>
        <v>0</v>
      </c>
      <c r="I55" s="1159"/>
      <c r="J55" s="1149"/>
      <c r="K55" s="1158"/>
      <c r="W55" s="1079">
        <v>46</v>
      </c>
    </row>
    <row r="56" spans="1:23" ht="11.45" customHeight="1">
      <c r="F56" s="1154" t="s">
        <v>929</v>
      </c>
      <c r="G56" s="1162" t="s">
        <v>1260</v>
      </c>
      <c r="H56" s="1160">
        <f t="shared" si="1"/>
        <v>0</v>
      </c>
      <c r="I56" s="1159"/>
      <c r="J56" s="1149"/>
      <c r="K56" s="1158"/>
      <c r="W56" s="1079">
        <v>11</v>
      </c>
    </row>
    <row r="57" spans="1:23" ht="11.45" customHeight="1">
      <c r="F57" s="1154" t="s">
        <v>518</v>
      </c>
      <c r="G57" s="1161" t="s">
        <v>1276</v>
      </c>
      <c r="H57" s="1160">
        <f t="shared" si="1"/>
        <v>0</v>
      </c>
      <c r="I57" s="1159"/>
      <c r="J57" s="1149"/>
      <c r="K57" s="1158"/>
      <c r="W57" s="1079">
        <v>11</v>
      </c>
    </row>
    <row r="58" spans="1:23" ht="11.45" customHeight="1">
      <c r="F58" s="1154"/>
      <c r="G58" s="1163" t="s">
        <v>1262</v>
      </c>
      <c r="H58" s="1160">
        <f t="shared" si="1"/>
        <v>0</v>
      </c>
      <c r="I58" s="1160">
        <f>SUM(I38,I48)</f>
        <v>0</v>
      </c>
      <c r="J58" s="1149"/>
      <c r="K58" s="1158"/>
      <c r="W58" s="1079">
        <v>11</v>
      </c>
    </row>
    <row r="59" spans="1:23" ht="10.5" hidden="1" customHeight="1">
      <c r="A59" s="1090" t="s">
        <v>69</v>
      </c>
      <c r="B59" s="1090">
        <v>0</v>
      </c>
      <c r="C59" s="1090">
        <v>0</v>
      </c>
      <c r="D59" s="1084">
        <v>0</v>
      </c>
      <c r="E59" s="443">
        <v>3</v>
      </c>
      <c r="F59" s="1079">
        <v>6</v>
      </c>
      <c r="G59" s="1079">
        <v>60</v>
      </c>
      <c r="H59" s="1079">
        <v>0</v>
      </c>
      <c r="I59" s="1079">
        <v>0</v>
      </c>
      <c r="J59" s="1079">
        <v>0</v>
      </c>
      <c r="K59" s="1079">
        <v>1</v>
      </c>
      <c r="L59" s="1079">
        <v>8</v>
      </c>
      <c r="M59" s="1079">
        <v>8</v>
      </c>
      <c r="N59" s="1079">
        <v>8</v>
      </c>
      <c r="O59" s="1079">
        <v>8</v>
      </c>
      <c r="P59" s="1079">
        <v>8</v>
      </c>
      <c r="Q59" s="1079">
        <v>8</v>
      </c>
      <c r="R59" s="1079">
        <v>8</v>
      </c>
      <c r="S59" s="1079">
        <v>8</v>
      </c>
      <c r="T59" s="1079">
        <v>8</v>
      </c>
      <c r="U59" s="1079">
        <v>8</v>
      </c>
      <c r="V59" s="1079">
        <v>8</v>
      </c>
      <c r="W59" s="1079">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0" hidden="1" customWidth="1"/>
    <col min="2" max="2" width="4.7109375" style="863" hidden="1" customWidth="1"/>
    <col min="3" max="4" width="4.7109375" style="990" hidden="1" customWidth="1"/>
    <col min="5" max="5" width="3" style="990" customWidth="1"/>
    <col min="6" max="6" width="6" style="990" customWidth="1"/>
    <col min="7" max="7" width="18" style="990" customWidth="1"/>
    <col min="8" max="8" width="27" style="990" customWidth="1"/>
    <col min="9" max="9" width="18" style="990" customWidth="1"/>
    <col min="10" max="14" width="0.85546875" style="990" hidden="1" customWidth="1"/>
    <col min="15" max="28" width="21.7109375" style="990" customWidth="1"/>
    <col min="29" max="71" width="0.85546875" style="990" customWidth="1"/>
    <col min="72" max="79" width="21.7109375" style="990" hidden="1" customWidth="1"/>
    <col min="80" max="81" width="29.140625" style="990" hidden="1" customWidth="1"/>
    <col min="82" max="89" width="21.7109375" style="990" hidden="1" customWidth="1"/>
    <col min="90" max="102" width="0.7109375" style="990" hidden="1" customWidth="1"/>
    <col min="103" max="114" width="21.7109375" style="990" hidden="1" customWidth="1"/>
    <col min="115" max="178" width="0.7109375" style="990" hidden="1" customWidth="1"/>
    <col min="179" max="179" width="0.140625" style="990" customWidth="1"/>
    <col min="180" max="184" width="8" style="990" customWidth="1"/>
    <col min="185" max="185" width="9.140625" style="990" hidden="1"/>
  </cols>
  <sheetData>
    <row r="1" spans="2:185" s="852" customFormat="1" ht="12" hidden="1" customHeight="1">
      <c r="B1" s="850"/>
      <c r="C1" s="851"/>
      <c r="D1" s="851"/>
      <c r="GC1" s="849" t="s">
        <v>1</v>
      </c>
    </row>
    <row r="2" spans="2:185" s="852" customFormat="1" ht="12" hidden="1" customHeight="1">
      <c r="B2" s="850"/>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c r="GC2" s="849">
        <v>0</v>
      </c>
    </row>
    <row r="3" spans="2:185" s="852" customFormat="1" ht="12" hidden="1" customHeight="1">
      <c r="B3" s="850"/>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C3" s="851"/>
      <c r="AD3" s="851"/>
      <c r="AE3" s="851"/>
      <c r="AF3" s="851"/>
      <c r="AG3" s="851"/>
      <c r="AH3" s="851"/>
      <c r="AI3" s="851"/>
      <c r="AJ3" s="851"/>
      <c r="AK3" s="851"/>
      <c r="AL3" s="851"/>
      <c r="AM3" s="851"/>
      <c r="AN3" s="851"/>
      <c r="AO3" s="851"/>
      <c r="AP3" s="851"/>
      <c r="AQ3" s="851"/>
      <c r="AR3" s="851"/>
      <c r="AS3" s="851"/>
      <c r="AT3" s="851"/>
      <c r="AU3" s="851"/>
      <c r="AV3" s="851"/>
      <c r="AW3" s="851"/>
      <c r="AX3" s="851"/>
      <c r="AY3" s="851"/>
      <c r="AZ3" s="851"/>
      <c r="BA3" s="851"/>
      <c r="BB3" s="851"/>
      <c r="BC3" s="851"/>
      <c r="BD3" s="851"/>
      <c r="BE3" s="851"/>
      <c r="BF3" s="851"/>
      <c r="BG3" s="851"/>
      <c r="BH3" s="851"/>
      <c r="BI3" s="851"/>
      <c r="BJ3" s="851"/>
      <c r="BK3" s="851"/>
      <c r="BL3" s="851"/>
      <c r="BM3" s="851"/>
      <c r="BN3" s="851"/>
      <c r="BO3" s="851"/>
      <c r="BP3" s="851"/>
      <c r="BQ3" s="851"/>
      <c r="BR3" s="851"/>
      <c r="BS3" s="851"/>
      <c r="BT3" s="851"/>
      <c r="BU3" s="851"/>
      <c r="BV3" s="851"/>
      <c r="BW3" s="851"/>
      <c r="BX3" s="851"/>
      <c r="BY3" s="851"/>
      <c r="BZ3" s="851"/>
      <c r="CA3" s="851"/>
      <c r="CB3" s="851"/>
      <c r="CC3" s="851"/>
      <c r="CD3" s="851"/>
      <c r="CE3" s="851"/>
      <c r="CF3" s="851"/>
      <c r="CG3" s="851"/>
      <c r="CH3" s="851"/>
      <c r="CI3" s="851"/>
      <c r="CJ3" s="851"/>
      <c r="CK3" s="851"/>
      <c r="CL3" s="851"/>
      <c r="CM3" s="851"/>
      <c r="CN3" s="851"/>
      <c r="CO3" s="851"/>
      <c r="CP3" s="851"/>
      <c r="CQ3" s="851"/>
      <c r="CR3" s="851"/>
      <c r="CS3" s="851"/>
      <c r="CT3" s="851"/>
      <c r="CU3" s="851"/>
      <c r="CV3" s="851"/>
      <c r="CW3" s="851"/>
      <c r="CX3" s="851"/>
      <c r="CY3" s="851"/>
      <c r="CZ3" s="851"/>
      <c r="DA3" s="851"/>
      <c r="DB3" s="851"/>
      <c r="DC3" s="851"/>
      <c r="DD3" s="851"/>
      <c r="DE3" s="851"/>
      <c r="DF3" s="851"/>
      <c r="DG3" s="851"/>
      <c r="DH3" s="851"/>
      <c r="DI3" s="851"/>
      <c r="DJ3" s="851"/>
      <c r="DK3" s="851"/>
      <c r="DL3" s="851"/>
      <c r="DM3" s="851"/>
      <c r="DN3" s="851"/>
      <c r="DO3" s="851"/>
      <c r="DP3" s="851"/>
      <c r="DQ3" s="851"/>
      <c r="DR3" s="851"/>
      <c r="DS3" s="851"/>
      <c r="DT3" s="851"/>
      <c r="DU3" s="851"/>
      <c r="DV3" s="851"/>
      <c r="DW3" s="851"/>
      <c r="DX3" s="851"/>
      <c r="DY3" s="851"/>
      <c r="DZ3" s="851"/>
      <c r="EA3" s="851"/>
      <c r="EB3" s="851"/>
      <c r="EC3" s="851"/>
      <c r="ED3" s="851"/>
      <c r="EE3" s="851"/>
      <c r="EF3" s="851"/>
      <c r="EG3" s="851"/>
      <c r="EH3" s="851"/>
      <c r="EI3" s="851"/>
      <c r="EJ3" s="851"/>
      <c r="EK3" s="851"/>
      <c r="EL3" s="851"/>
      <c r="EM3" s="851"/>
      <c r="EN3" s="851"/>
      <c r="EO3" s="851"/>
      <c r="EP3" s="851"/>
      <c r="EQ3" s="851"/>
      <c r="ER3" s="851"/>
      <c r="ES3" s="851"/>
      <c r="ET3" s="851"/>
      <c r="EU3" s="851"/>
      <c r="EV3" s="851"/>
      <c r="EW3" s="851"/>
      <c r="EX3" s="851"/>
      <c r="EY3" s="851"/>
      <c r="EZ3" s="851"/>
      <c r="FA3" s="851"/>
      <c r="FB3" s="851"/>
      <c r="FC3" s="851"/>
      <c r="FD3" s="851"/>
      <c r="FE3" s="851"/>
      <c r="FF3" s="851"/>
      <c r="FG3" s="851"/>
      <c r="FH3" s="851"/>
      <c r="FI3" s="851"/>
      <c r="FJ3" s="851"/>
      <c r="FK3" s="851"/>
      <c r="FL3" s="851"/>
      <c r="FM3" s="851"/>
      <c r="FN3" s="851"/>
      <c r="FO3" s="851"/>
      <c r="FP3" s="851"/>
      <c r="FQ3" s="851"/>
      <c r="FR3" s="851"/>
      <c r="FS3" s="851"/>
      <c r="FT3" s="851"/>
      <c r="FU3" s="851"/>
      <c r="FV3" s="851"/>
      <c r="FW3" s="851"/>
      <c r="GC3" s="849">
        <v>0</v>
      </c>
    </row>
    <row r="4" spans="2:185" ht="10.5" customHeight="1">
      <c r="B4" s="854"/>
      <c r="C4" s="855"/>
      <c r="D4" s="855"/>
      <c r="E4" s="855"/>
      <c r="F4" s="855"/>
      <c r="G4" s="855"/>
      <c r="H4" s="856"/>
      <c r="I4" s="856"/>
      <c r="J4" s="856"/>
      <c r="K4" s="856"/>
      <c r="L4" s="856"/>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c r="AZ4" s="857"/>
      <c r="BA4" s="857"/>
      <c r="BB4" s="857"/>
      <c r="BC4" s="857"/>
      <c r="BD4" s="857"/>
      <c r="BE4" s="857"/>
      <c r="BF4" s="857"/>
      <c r="BG4" s="857"/>
      <c r="BH4" s="857"/>
      <c r="BI4" s="857"/>
      <c r="BJ4" s="857"/>
      <c r="BK4" s="857"/>
      <c r="BL4" s="857"/>
      <c r="BM4" s="857"/>
      <c r="BN4" s="857"/>
      <c r="BO4" s="857"/>
      <c r="BP4" s="857"/>
      <c r="BQ4" s="857"/>
      <c r="BR4" s="857"/>
      <c r="BS4" s="857"/>
      <c r="BT4" s="857"/>
      <c r="BU4" s="857"/>
      <c r="BV4" s="857"/>
      <c r="BW4" s="857"/>
      <c r="BX4" s="857"/>
      <c r="BY4" s="857"/>
      <c r="BZ4" s="857"/>
      <c r="CA4" s="857"/>
      <c r="CB4" s="857"/>
      <c r="CC4" s="857"/>
      <c r="CD4" s="857"/>
      <c r="CE4" s="857"/>
      <c r="CF4" s="857"/>
      <c r="CG4" s="857"/>
      <c r="CH4" s="857"/>
      <c r="CI4" s="857"/>
      <c r="CJ4" s="857"/>
      <c r="CK4" s="857"/>
      <c r="CL4" s="857"/>
      <c r="CM4" s="857"/>
      <c r="CN4" s="857"/>
      <c r="CO4" s="857"/>
      <c r="CP4" s="857"/>
      <c r="CQ4" s="857"/>
      <c r="CR4" s="857"/>
      <c r="CS4" s="857"/>
      <c r="CT4" s="857"/>
      <c r="CU4" s="857"/>
      <c r="CV4" s="857"/>
      <c r="CW4" s="857"/>
      <c r="CX4" s="857"/>
      <c r="CY4" s="857"/>
      <c r="CZ4" s="857"/>
      <c r="DA4" s="857"/>
      <c r="DB4" s="857"/>
      <c r="DC4" s="857"/>
      <c r="DD4" s="857"/>
      <c r="DE4" s="857"/>
      <c r="DF4" s="857"/>
      <c r="DG4" s="857"/>
      <c r="DH4" s="857"/>
      <c r="DI4" s="857"/>
      <c r="DJ4" s="857"/>
      <c r="DK4" s="857"/>
      <c r="DL4" s="857"/>
      <c r="DM4" s="857"/>
      <c r="DN4" s="857"/>
      <c r="DO4" s="857"/>
      <c r="DP4" s="857"/>
      <c r="DQ4" s="857"/>
      <c r="DR4" s="857"/>
      <c r="DS4" s="857"/>
      <c r="DT4" s="857"/>
      <c r="DU4" s="857"/>
      <c r="DV4" s="857"/>
      <c r="DW4" s="857"/>
      <c r="DX4" s="857"/>
      <c r="DY4" s="857"/>
      <c r="DZ4" s="857"/>
      <c r="EA4" s="857"/>
      <c r="EB4" s="857"/>
      <c r="EC4" s="857"/>
      <c r="ED4" s="857"/>
      <c r="EE4" s="857"/>
      <c r="EF4" s="857"/>
      <c r="EG4" s="857"/>
      <c r="EH4" s="857"/>
      <c r="EI4" s="857"/>
      <c r="EJ4" s="857"/>
      <c r="EK4" s="857"/>
      <c r="EL4" s="857"/>
      <c r="EM4" s="857"/>
      <c r="EN4" s="857"/>
      <c r="EO4" s="857"/>
      <c r="EP4" s="857"/>
      <c r="EQ4" s="857"/>
      <c r="ER4" s="857"/>
      <c r="ES4" s="857"/>
      <c r="ET4" s="857"/>
      <c r="EU4" s="857"/>
      <c r="EV4" s="857"/>
      <c r="EW4" s="857"/>
      <c r="EX4" s="857"/>
      <c r="EY4" s="857"/>
      <c r="EZ4" s="857"/>
      <c r="FA4" s="857"/>
      <c r="FB4" s="857"/>
      <c r="FC4" s="857"/>
      <c r="FD4" s="857"/>
      <c r="FE4" s="857"/>
      <c r="FF4" s="857"/>
      <c r="FG4" s="857"/>
      <c r="FH4" s="857"/>
      <c r="FI4" s="857"/>
      <c r="FJ4" s="857"/>
      <c r="FK4" s="857"/>
      <c r="FL4" s="857"/>
      <c r="FM4" s="857"/>
      <c r="FN4" s="857"/>
      <c r="FO4" s="857"/>
      <c r="FP4" s="857"/>
      <c r="FQ4" s="857"/>
      <c r="FR4" s="857"/>
      <c r="FS4" s="857"/>
      <c r="FT4" s="857"/>
      <c r="FU4" s="857"/>
      <c r="FV4" s="857"/>
      <c r="FW4" s="857"/>
      <c r="GC4" s="853">
        <v>10</v>
      </c>
    </row>
    <row r="5" spans="2:185" s="1768" customFormat="1" ht="27.4" customHeight="1">
      <c r="B5" s="1767"/>
      <c r="E5" s="1769"/>
      <c r="F5" s="418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935"/>
      <c r="H5" s="3935"/>
      <c r="I5" s="3935"/>
      <c r="J5" s="3935"/>
      <c r="K5" s="3935"/>
      <c r="L5" s="3935"/>
      <c r="M5" s="3935"/>
      <c r="N5" s="3935"/>
      <c r="O5" s="3935"/>
      <c r="P5" s="3935"/>
      <c r="Q5" s="3935"/>
      <c r="R5" s="3935"/>
      <c r="S5" s="3935"/>
      <c r="T5" s="3935"/>
      <c r="U5" s="3935"/>
      <c r="V5" s="3935"/>
      <c r="W5" s="3935"/>
      <c r="X5" s="3935"/>
      <c r="Y5" s="3935"/>
      <c r="Z5" s="3935"/>
      <c r="AA5" s="3935"/>
      <c r="AB5" s="3935"/>
      <c r="AC5" s="3935"/>
      <c r="AD5" s="3935"/>
      <c r="AE5" s="3935"/>
      <c r="AF5" s="3935"/>
      <c r="AG5" s="3935"/>
      <c r="AH5" s="3935"/>
      <c r="AI5" s="3935"/>
      <c r="AJ5" s="3935"/>
      <c r="AK5" s="3935"/>
      <c r="AL5" s="3935"/>
      <c r="AM5" s="3935"/>
      <c r="AN5" s="3935"/>
      <c r="AO5" s="3935"/>
      <c r="AP5" s="3935"/>
      <c r="AQ5" s="3935"/>
      <c r="AR5" s="3935"/>
      <c r="AS5" s="3935"/>
      <c r="AT5" s="3935"/>
      <c r="AU5" s="3935"/>
      <c r="AV5" s="3935"/>
      <c r="AW5" s="3935"/>
      <c r="AX5" s="3935"/>
      <c r="AY5" s="3935"/>
      <c r="AZ5" s="3935"/>
      <c r="BA5" s="3935"/>
      <c r="BB5" s="3935"/>
      <c r="BC5" s="3935"/>
      <c r="BD5" s="3935"/>
      <c r="BE5" s="3935"/>
      <c r="BF5" s="3935"/>
      <c r="BG5" s="3935"/>
      <c r="BH5" s="3935"/>
      <c r="BI5" s="3935"/>
      <c r="BJ5" s="3935"/>
      <c r="BK5" s="3935"/>
      <c r="BL5" s="3935"/>
      <c r="BM5" s="3935"/>
      <c r="BN5" s="3935"/>
      <c r="BO5" s="3935"/>
      <c r="BP5" s="3935"/>
      <c r="BQ5" s="3935"/>
      <c r="BR5" s="3935"/>
      <c r="BS5" s="3935"/>
      <c r="GC5" s="1768">
        <v>26</v>
      </c>
    </row>
    <row r="6" spans="2:185" s="1971" customFormat="1" ht="18.75" customHeight="1">
      <c r="B6" s="870"/>
      <c r="E6" s="872"/>
      <c r="F6" s="4009" t="str">
        <f>IF(org=0,"Не определено",org)</f>
        <v>ООО "Смоленскрегионтеплоэнерго"</v>
      </c>
      <c r="G6" s="4010"/>
      <c r="H6" s="4010"/>
      <c r="I6" s="4010"/>
      <c r="J6" s="4010"/>
      <c r="K6" s="4010"/>
      <c r="L6" s="4010"/>
      <c r="M6" s="4010"/>
      <c r="N6" s="4010"/>
      <c r="O6" s="4010"/>
      <c r="P6" s="4010"/>
      <c r="Q6" s="4010"/>
      <c r="R6" s="4010"/>
      <c r="S6" s="4010"/>
      <c r="T6" s="4010"/>
      <c r="U6" s="4010"/>
      <c r="V6" s="4010"/>
      <c r="W6" s="4010"/>
      <c r="X6" s="4010"/>
      <c r="Y6" s="4010"/>
      <c r="Z6" s="4010"/>
      <c r="AA6" s="4010"/>
      <c r="AB6" s="4010"/>
      <c r="AC6" s="4010"/>
      <c r="AD6" s="4010"/>
      <c r="AE6" s="4010"/>
      <c r="AF6" s="4010"/>
      <c r="AG6" s="4010"/>
      <c r="AH6" s="4010"/>
      <c r="AI6" s="4010"/>
      <c r="AJ6" s="4010"/>
      <c r="AK6" s="4010"/>
      <c r="AL6" s="4010"/>
      <c r="AM6" s="4010"/>
      <c r="AN6" s="4010"/>
      <c r="AO6" s="4010"/>
      <c r="AP6" s="4010"/>
      <c r="AQ6" s="4010"/>
      <c r="AR6" s="4010"/>
      <c r="AS6" s="4010"/>
      <c r="AT6" s="4010"/>
      <c r="AU6" s="4010"/>
      <c r="AV6" s="4010"/>
      <c r="AW6" s="4010"/>
      <c r="AX6" s="4010"/>
      <c r="AY6" s="4010"/>
      <c r="AZ6" s="4010"/>
      <c r="BA6" s="4010"/>
      <c r="BB6" s="4010"/>
      <c r="BC6" s="4010"/>
      <c r="BD6" s="4010"/>
      <c r="BE6" s="4010"/>
      <c r="BF6" s="4010"/>
      <c r="BG6" s="4010"/>
      <c r="BH6" s="4010"/>
      <c r="BI6" s="4010"/>
      <c r="BJ6" s="4010"/>
      <c r="BK6" s="4010"/>
      <c r="BL6" s="4010"/>
      <c r="BM6" s="4010"/>
      <c r="BN6" s="4010"/>
      <c r="BO6" s="4010"/>
      <c r="BP6" s="4010"/>
      <c r="BQ6" s="4010"/>
      <c r="BR6" s="4010"/>
      <c r="BS6" s="4010"/>
      <c r="GC6" s="871">
        <v>18</v>
      </c>
    </row>
    <row r="7" spans="2:185" s="860" customFormat="1" ht="10.5" customHeight="1">
      <c r="B7" s="859"/>
      <c r="G7" s="862"/>
      <c r="H7" s="856"/>
      <c r="I7" s="856"/>
      <c r="J7" s="856"/>
      <c r="K7" s="856"/>
      <c r="L7" s="856"/>
      <c r="GC7" s="858">
        <v>10</v>
      </c>
    </row>
    <row r="8" spans="2:185" s="860" customFormat="1" ht="11.25" hidden="1" customHeight="1">
      <c r="B8" s="861"/>
      <c r="F8" s="983"/>
      <c r="G8" s="695"/>
      <c r="H8" s="294"/>
      <c r="I8" s="294"/>
      <c r="J8" s="294"/>
      <c r="K8" s="294"/>
      <c r="L8" s="294"/>
      <c r="M8" s="983"/>
      <c r="N8" s="983"/>
      <c r="O8" s="4175" t="s">
        <v>1280</v>
      </c>
      <c r="P8" s="4176"/>
      <c r="Q8" s="4176"/>
      <c r="R8" s="4176"/>
      <c r="S8" s="4176"/>
      <c r="T8" s="4176"/>
      <c r="U8" s="4176"/>
      <c r="V8" s="4176"/>
      <c r="W8" s="4176"/>
      <c r="X8" s="4176"/>
      <c r="Y8" s="4176"/>
      <c r="Z8" s="4176"/>
      <c r="AA8" s="4176"/>
      <c r="AB8" s="4176"/>
      <c r="AC8" s="4176"/>
      <c r="AD8" s="4176"/>
      <c r="AE8" s="4176"/>
      <c r="AF8" s="4176"/>
      <c r="AG8" s="4176"/>
      <c r="AH8" s="4176"/>
      <c r="AI8" s="4176"/>
      <c r="AJ8" s="4176"/>
      <c r="AK8" s="4176"/>
      <c r="AL8" s="4176"/>
      <c r="AM8" s="4176"/>
      <c r="AN8" s="4176"/>
      <c r="AO8" s="4176"/>
      <c r="AP8" s="4176"/>
      <c r="AQ8" s="4176"/>
      <c r="AR8" s="4176"/>
      <c r="AS8" s="4176"/>
      <c r="AT8" s="4176"/>
      <c r="AU8" s="4176"/>
      <c r="AV8" s="4176"/>
      <c r="AW8" s="4176"/>
      <c r="AX8" s="4176"/>
      <c r="AY8" s="4176"/>
      <c r="AZ8" s="4176"/>
      <c r="BA8" s="4176"/>
      <c r="BB8" s="4176"/>
      <c r="BC8" s="4176"/>
      <c r="BD8" s="4176"/>
      <c r="BE8" s="4176"/>
      <c r="BF8" s="4176"/>
      <c r="BG8" s="4176"/>
      <c r="BH8" s="4176"/>
      <c r="BI8" s="4176"/>
      <c r="BJ8" s="4176"/>
      <c r="BK8" s="4176"/>
      <c r="BL8" s="4176"/>
      <c r="BM8" s="4176"/>
      <c r="BN8" s="4176"/>
      <c r="BO8" s="4176"/>
      <c r="BP8" s="4176"/>
      <c r="BQ8" s="4176"/>
      <c r="BR8" s="4176"/>
      <c r="BS8" s="4177"/>
      <c r="BT8" s="4178"/>
      <c r="BU8" s="4179"/>
      <c r="BV8" s="4179"/>
      <c r="BW8" s="4179"/>
      <c r="BX8" s="4179"/>
      <c r="BY8" s="4179"/>
      <c r="BZ8" s="4179"/>
      <c r="CA8" s="4179"/>
      <c r="CB8" s="4179"/>
      <c r="CC8" s="4179"/>
      <c r="CD8" s="4179"/>
      <c r="CE8" s="4179"/>
      <c r="CF8" s="4179"/>
      <c r="CG8" s="4179"/>
      <c r="CH8" s="4179"/>
      <c r="CI8" s="4179"/>
      <c r="CJ8" s="4179"/>
      <c r="CK8" s="4179"/>
      <c r="CL8" s="4179"/>
      <c r="CM8" s="4179"/>
      <c r="CN8" s="4179"/>
      <c r="CO8" s="4179"/>
      <c r="CP8" s="4179"/>
      <c r="CQ8" s="4179"/>
      <c r="CR8" s="4179"/>
      <c r="CS8" s="4179"/>
      <c r="CT8" s="4179"/>
      <c r="CU8" s="4179"/>
      <c r="CV8" s="4179"/>
      <c r="CW8" s="4179"/>
      <c r="CX8" s="4180"/>
      <c r="CY8" s="4181"/>
      <c r="CZ8" s="4182"/>
      <c r="DA8" s="4182"/>
      <c r="DB8" s="4182"/>
      <c r="DC8" s="4182"/>
      <c r="DD8" s="4182"/>
      <c r="DE8" s="4182"/>
      <c r="DF8" s="4182"/>
      <c r="DG8" s="4182"/>
      <c r="DH8" s="4182"/>
      <c r="DI8" s="4182"/>
      <c r="DJ8" s="4182"/>
      <c r="DK8" s="4182"/>
      <c r="DL8" s="4182"/>
      <c r="DM8" s="4182"/>
      <c r="DN8" s="4182"/>
      <c r="DO8" s="4182"/>
      <c r="DP8" s="4182"/>
      <c r="DQ8" s="4182"/>
      <c r="DR8" s="4182"/>
      <c r="DS8" s="4182"/>
      <c r="DT8" s="4182"/>
      <c r="DU8" s="4182"/>
      <c r="DV8" s="4182"/>
      <c r="DW8" s="4182"/>
      <c r="DX8" s="4183"/>
      <c r="DY8" s="4169" t="s">
        <v>1281</v>
      </c>
      <c r="DZ8" s="4170"/>
      <c r="EA8" s="4170"/>
      <c r="EB8" s="4170"/>
      <c r="EC8" s="4170"/>
      <c r="ED8" s="4170"/>
      <c r="EE8" s="4170"/>
      <c r="EF8" s="4170"/>
      <c r="EG8" s="4170"/>
      <c r="EH8" s="4170"/>
      <c r="EI8" s="4170"/>
      <c r="EJ8" s="4170"/>
      <c r="EK8" s="4170"/>
      <c r="EL8" s="4170"/>
      <c r="EM8" s="4170"/>
      <c r="EN8" s="4170"/>
      <c r="EO8" s="4170"/>
      <c r="EP8" s="4170"/>
      <c r="EQ8" s="4170"/>
      <c r="ER8" s="4170"/>
      <c r="ES8" s="4170"/>
      <c r="ET8" s="4170"/>
      <c r="EU8" s="4170"/>
      <c r="EV8" s="4170"/>
      <c r="EW8" s="4170"/>
      <c r="EX8" s="4170"/>
      <c r="EY8" s="4170"/>
      <c r="EZ8" s="4170"/>
      <c r="FA8" s="4170"/>
      <c r="FB8" s="4170"/>
      <c r="FC8" s="4170"/>
      <c r="FD8" s="4170"/>
      <c r="FE8" s="4170"/>
      <c r="FF8" s="4170"/>
      <c r="FG8" s="4170"/>
      <c r="FH8" s="4170"/>
      <c r="FI8" s="4170"/>
      <c r="FJ8" s="4170"/>
      <c r="FK8" s="4170"/>
      <c r="FL8" s="4170"/>
      <c r="FM8" s="4170"/>
      <c r="FN8" s="4170"/>
      <c r="FO8" s="4170"/>
      <c r="FP8" s="4170"/>
      <c r="FQ8" s="4170"/>
      <c r="FR8" s="4170"/>
      <c r="FS8" s="4170"/>
      <c r="FT8" s="4170"/>
      <c r="FU8" s="4170"/>
      <c r="FV8" s="4170"/>
      <c r="FW8" s="4171"/>
      <c r="FX8" s="983"/>
      <c r="GC8" s="860">
        <v>0</v>
      </c>
    </row>
    <row r="9" spans="2:185" s="860" customFormat="1" ht="11.25" hidden="1" customHeight="1">
      <c r="B9" s="861"/>
      <c r="F9" s="983"/>
      <c r="G9" s="695"/>
      <c r="H9" s="294"/>
      <c r="I9" s="294"/>
      <c r="J9" s="294"/>
      <c r="K9" s="294"/>
      <c r="L9" s="294"/>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c r="AT9" s="983"/>
      <c r="AU9" s="983"/>
      <c r="AV9" s="983"/>
      <c r="AW9" s="983"/>
      <c r="AX9" s="983"/>
      <c r="AY9" s="983"/>
      <c r="AZ9" s="983"/>
      <c r="BA9" s="983"/>
      <c r="BB9" s="983"/>
      <c r="BC9" s="983"/>
      <c r="BD9" s="983"/>
      <c r="BE9" s="983"/>
      <c r="BF9" s="983"/>
      <c r="BG9" s="983"/>
      <c r="BH9" s="983"/>
      <c r="BI9" s="983"/>
      <c r="BJ9" s="983"/>
      <c r="BK9" s="983"/>
      <c r="BL9" s="983"/>
      <c r="BM9" s="983"/>
      <c r="BN9" s="983"/>
      <c r="BO9" s="983"/>
      <c r="BP9" s="983"/>
      <c r="BQ9" s="983"/>
      <c r="BR9" s="983"/>
      <c r="BS9" s="983"/>
      <c r="BT9" s="983"/>
      <c r="BU9" s="983"/>
      <c r="BV9" s="983"/>
      <c r="BW9" s="983"/>
      <c r="BX9" s="983"/>
      <c r="BY9" s="983"/>
      <c r="BZ9" s="983"/>
      <c r="CA9" s="983"/>
      <c r="CB9" s="983"/>
      <c r="CC9" s="983"/>
      <c r="CD9" s="983"/>
      <c r="CE9" s="983"/>
      <c r="CF9" s="983"/>
      <c r="CG9" s="983"/>
      <c r="CH9" s="983"/>
      <c r="CI9" s="983"/>
      <c r="CJ9" s="983"/>
      <c r="CK9" s="983"/>
      <c r="CL9" s="983"/>
      <c r="CM9" s="983"/>
      <c r="CN9" s="983"/>
      <c r="CO9" s="983"/>
      <c r="CP9" s="983"/>
      <c r="CQ9" s="983"/>
      <c r="CR9" s="983"/>
      <c r="CS9" s="983"/>
      <c r="CT9" s="983"/>
      <c r="CU9" s="983"/>
      <c r="CV9" s="983"/>
      <c r="CW9" s="983"/>
      <c r="CX9" s="983"/>
      <c r="CY9" s="983"/>
      <c r="CZ9" s="983"/>
      <c r="DA9" s="983"/>
      <c r="DB9" s="983"/>
      <c r="DC9" s="983"/>
      <c r="DD9" s="983"/>
      <c r="DE9" s="983"/>
      <c r="DF9" s="983"/>
      <c r="DG9" s="983"/>
      <c r="DH9" s="983"/>
      <c r="DI9" s="983"/>
      <c r="DJ9" s="983"/>
      <c r="DK9" s="983"/>
      <c r="DL9" s="983"/>
      <c r="DM9" s="983"/>
      <c r="DN9" s="983"/>
      <c r="DO9" s="983"/>
      <c r="DP9" s="983"/>
      <c r="DQ9" s="983"/>
      <c r="DR9" s="983"/>
      <c r="DS9" s="983"/>
      <c r="DT9" s="983"/>
      <c r="DU9" s="983"/>
      <c r="DV9" s="983"/>
      <c r="DW9" s="983"/>
      <c r="DX9" s="983"/>
      <c r="DY9" s="983"/>
      <c r="DZ9" s="983"/>
      <c r="EA9" s="983"/>
      <c r="EB9" s="983"/>
      <c r="EC9" s="983"/>
      <c r="ED9" s="983"/>
      <c r="EE9" s="983"/>
      <c r="EF9" s="983"/>
      <c r="EG9" s="983"/>
      <c r="EH9" s="983"/>
      <c r="EI9" s="983"/>
      <c r="EJ9" s="983"/>
      <c r="EK9" s="983"/>
      <c r="EL9" s="983"/>
      <c r="EM9" s="983"/>
      <c r="EN9" s="983"/>
      <c r="EO9" s="983"/>
      <c r="EP9" s="983"/>
      <c r="EQ9" s="983"/>
      <c r="ER9" s="983"/>
      <c r="ES9" s="983"/>
      <c r="ET9" s="983"/>
      <c r="EU9" s="983"/>
      <c r="EV9" s="983"/>
      <c r="EW9" s="983"/>
      <c r="EX9" s="983"/>
      <c r="EY9" s="983"/>
      <c r="EZ9" s="983"/>
      <c r="FA9" s="983"/>
      <c r="FB9" s="983"/>
      <c r="FC9" s="983"/>
      <c r="FD9" s="983"/>
      <c r="FE9" s="983"/>
      <c r="FF9" s="983"/>
      <c r="FG9" s="983"/>
      <c r="FH9" s="983"/>
      <c r="FI9" s="983"/>
      <c r="FJ9" s="983"/>
      <c r="FK9" s="983"/>
      <c r="FL9" s="983"/>
      <c r="FM9" s="983"/>
      <c r="FN9" s="983"/>
      <c r="FO9" s="983"/>
      <c r="FP9" s="983"/>
      <c r="FQ9" s="983"/>
      <c r="FR9" s="983"/>
      <c r="FS9" s="983"/>
      <c r="FT9" s="983"/>
      <c r="FU9" s="983"/>
      <c r="FV9" s="983"/>
      <c r="FW9" s="4172"/>
      <c r="FX9" s="983"/>
      <c r="GC9" s="860">
        <v>0</v>
      </c>
    </row>
    <row r="10" spans="2:185" s="860" customFormat="1" ht="11.45" customHeight="1">
      <c r="B10" s="861"/>
      <c r="F10" s="4148" t="s">
        <v>508</v>
      </c>
      <c r="G10" s="4185"/>
      <c r="H10" s="4185"/>
      <c r="I10" s="4185"/>
      <c r="J10" s="4185"/>
      <c r="K10" s="4185"/>
      <c r="L10" s="4185"/>
      <c r="M10" s="4185"/>
      <c r="N10" s="4185"/>
      <c r="O10" s="4185"/>
      <c r="P10" s="4185"/>
      <c r="Q10" s="4185"/>
      <c r="R10" s="4185"/>
      <c r="S10" s="4185"/>
      <c r="T10" s="4185"/>
      <c r="U10" s="4185"/>
      <c r="V10" s="4185"/>
      <c r="W10" s="4185"/>
      <c r="X10" s="4185"/>
      <c r="Y10" s="4185"/>
      <c r="Z10" s="4185"/>
      <c r="AA10" s="4185"/>
      <c r="AB10" s="4185"/>
      <c r="AC10" s="4185"/>
      <c r="AD10" s="4185"/>
      <c r="AE10" s="4185"/>
      <c r="AF10" s="4185"/>
      <c r="AG10" s="4185"/>
      <c r="AH10" s="4185"/>
      <c r="AI10" s="4185"/>
      <c r="AJ10" s="4185"/>
      <c r="AK10" s="4185"/>
      <c r="AL10" s="4185"/>
      <c r="AM10" s="4185"/>
      <c r="AN10" s="4185"/>
      <c r="AO10" s="4185"/>
      <c r="AP10" s="4185"/>
      <c r="AQ10" s="4185"/>
      <c r="AR10" s="4185"/>
      <c r="AS10" s="4185"/>
      <c r="AT10" s="4185"/>
      <c r="AU10" s="4185"/>
      <c r="AV10" s="4185"/>
      <c r="AW10" s="4185"/>
      <c r="AX10" s="4185"/>
      <c r="AY10" s="4185"/>
      <c r="AZ10" s="4185"/>
      <c r="BA10" s="4185"/>
      <c r="BB10" s="4185"/>
      <c r="BC10" s="4185"/>
      <c r="BD10" s="4185"/>
      <c r="BE10" s="4185"/>
      <c r="BF10" s="4185"/>
      <c r="BG10" s="4185"/>
      <c r="BH10" s="4185"/>
      <c r="BI10" s="4185"/>
      <c r="BJ10" s="4185"/>
      <c r="BK10" s="4185"/>
      <c r="BL10" s="4185"/>
      <c r="BM10" s="4185"/>
      <c r="BN10" s="4185"/>
      <c r="BO10" s="4185"/>
      <c r="BP10" s="4185"/>
      <c r="BQ10" s="4185"/>
      <c r="BR10" s="4185"/>
      <c r="BS10" s="4185"/>
      <c r="BT10" s="4185"/>
      <c r="BU10" s="4185"/>
      <c r="BV10" s="4185"/>
      <c r="BW10" s="4185"/>
      <c r="BX10" s="4185"/>
      <c r="BY10" s="4185"/>
      <c r="BZ10" s="4185"/>
      <c r="CA10" s="4185"/>
      <c r="CB10" s="4185"/>
      <c r="CC10" s="4185"/>
      <c r="CD10" s="4185"/>
      <c r="CE10" s="4185"/>
      <c r="CF10" s="4185"/>
      <c r="CG10" s="4185"/>
      <c r="CH10" s="4185"/>
      <c r="CI10" s="4185"/>
      <c r="CJ10" s="4185"/>
      <c r="CK10" s="4185"/>
      <c r="CL10" s="4185"/>
      <c r="CM10" s="4185"/>
      <c r="CN10" s="4185"/>
      <c r="CO10" s="4185"/>
      <c r="CP10" s="4185"/>
      <c r="CQ10" s="4185"/>
      <c r="CR10" s="4185"/>
      <c r="CS10" s="4185"/>
      <c r="CT10" s="4185"/>
      <c r="CU10" s="4185"/>
      <c r="CV10" s="4185"/>
      <c r="CW10" s="4185"/>
      <c r="CX10" s="4185"/>
      <c r="CY10" s="4185"/>
      <c r="CZ10" s="4185"/>
      <c r="DA10" s="4185"/>
      <c r="DB10" s="4185"/>
      <c r="DC10" s="4185"/>
      <c r="DD10" s="4185"/>
      <c r="DE10" s="4185"/>
      <c r="DF10" s="4185"/>
      <c r="DG10" s="4185"/>
      <c r="DH10" s="4185"/>
      <c r="DI10" s="4185"/>
      <c r="DJ10" s="4185"/>
      <c r="DK10" s="4185"/>
      <c r="DL10" s="4185"/>
      <c r="DM10" s="4185"/>
      <c r="DN10" s="4185"/>
      <c r="DO10" s="4185"/>
      <c r="DP10" s="4185"/>
      <c r="DQ10" s="4185"/>
      <c r="DR10" s="4185"/>
      <c r="DS10" s="4185"/>
      <c r="DT10" s="4185"/>
      <c r="DU10" s="4185"/>
      <c r="DV10" s="4185"/>
      <c r="DW10" s="4185"/>
      <c r="DX10" s="4185"/>
      <c r="DY10" s="4185"/>
      <c r="DZ10" s="4185"/>
      <c r="EA10" s="4185"/>
      <c r="EB10" s="4185"/>
      <c r="EC10" s="4185"/>
      <c r="ED10" s="4185"/>
      <c r="EE10" s="4185"/>
      <c r="EF10" s="4185"/>
      <c r="EG10" s="4185"/>
      <c r="EH10" s="4185"/>
      <c r="EI10" s="4185"/>
      <c r="EJ10" s="4185"/>
      <c r="EK10" s="4185"/>
      <c r="EL10" s="4185"/>
      <c r="EM10" s="4185"/>
      <c r="EN10" s="4185"/>
      <c r="EO10" s="4185"/>
      <c r="EP10" s="4185"/>
      <c r="EQ10" s="4185"/>
      <c r="ER10" s="4185"/>
      <c r="ES10" s="4185"/>
      <c r="ET10" s="4185"/>
      <c r="EU10" s="4185"/>
      <c r="EV10" s="4185"/>
      <c r="EW10" s="4185"/>
      <c r="EX10" s="4185"/>
      <c r="EY10" s="4185"/>
      <c r="EZ10" s="4185"/>
      <c r="FA10" s="4185"/>
      <c r="FB10" s="4185"/>
      <c r="FC10" s="4185"/>
      <c r="FD10" s="4185"/>
      <c r="FE10" s="4185"/>
      <c r="FF10" s="4185"/>
      <c r="FG10" s="4185"/>
      <c r="FH10" s="4185"/>
      <c r="FI10" s="4185"/>
      <c r="FJ10" s="4185"/>
      <c r="FK10" s="4185"/>
      <c r="FL10" s="4185"/>
      <c r="FM10" s="4185"/>
      <c r="FN10" s="4185"/>
      <c r="FO10" s="4185"/>
      <c r="FP10" s="4185"/>
      <c r="FQ10" s="4185"/>
      <c r="FR10" s="4185"/>
      <c r="FS10" s="4185"/>
      <c r="FT10" s="4185"/>
      <c r="FU10" s="4185"/>
      <c r="FV10" s="4186"/>
      <c r="FW10" s="4172"/>
      <c r="FX10" s="983"/>
      <c r="GC10" s="860">
        <v>11</v>
      </c>
    </row>
    <row r="11" spans="2:185" ht="12.75" customHeight="1">
      <c r="E11" s="864"/>
      <c r="F11" s="3991" t="s">
        <v>75</v>
      </c>
      <c r="G11" s="3991" t="s">
        <v>1282</v>
      </c>
      <c r="H11" s="3991" t="s">
        <v>1283</v>
      </c>
      <c r="I11" s="3991" t="s">
        <v>1284</v>
      </c>
      <c r="J11" s="4184"/>
      <c r="K11" s="4184"/>
      <c r="L11" s="4184"/>
      <c r="M11" s="4184"/>
      <c r="N11" s="4184"/>
      <c r="O11" s="3995" t="s">
        <v>1285</v>
      </c>
      <c r="P11" s="3995"/>
      <c r="Q11" s="3995"/>
      <c r="R11" s="3995"/>
      <c r="S11" s="3995"/>
      <c r="T11" s="3995"/>
      <c r="U11" s="3995"/>
      <c r="V11" s="3995"/>
      <c r="W11" s="3995"/>
      <c r="X11" s="3995"/>
      <c r="Y11" s="3995"/>
      <c r="Z11" s="3995"/>
      <c r="AA11" s="3995"/>
      <c r="AB11" s="3995"/>
      <c r="AC11" s="4167"/>
      <c r="AD11" s="4167"/>
      <c r="AE11" s="4167"/>
      <c r="AF11" s="4167"/>
      <c r="AG11" s="4167"/>
      <c r="AH11" s="4167"/>
      <c r="AI11" s="4167"/>
      <c r="AJ11" s="4167"/>
      <c r="AK11" s="4167"/>
      <c r="AL11" s="4167"/>
      <c r="AM11" s="4167"/>
      <c r="AN11" s="4167"/>
      <c r="AO11" s="4167"/>
      <c r="AP11" s="4167"/>
      <c r="AQ11" s="4167"/>
      <c r="AR11" s="4167"/>
      <c r="AS11" s="4167"/>
      <c r="AT11" s="4167"/>
      <c r="AU11" s="4167"/>
      <c r="AV11" s="4167"/>
      <c r="AW11" s="4167"/>
      <c r="AX11" s="4167"/>
      <c r="AY11" s="4167"/>
      <c r="AZ11" s="4167"/>
      <c r="BA11" s="4167"/>
      <c r="BB11" s="4167"/>
      <c r="BC11" s="4167"/>
      <c r="BD11" s="4167"/>
      <c r="BE11" s="4167"/>
      <c r="BF11" s="4167"/>
      <c r="BG11" s="4167"/>
      <c r="BH11" s="4167"/>
      <c r="BI11" s="4167"/>
      <c r="BJ11" s="4167"/>
      <c r="BK11" s="4167"/>
      <c r="BL11" s="4167"/>
      <c r="BM11" s="4167"/>
      <c r="BN11" s="4167"/>
      <c r="BO11" s="4167"/>
      <c r="BP11" s="4167"/>
      <c r="BQ11" s="4167"/>
      <c r="BR11" s="4167"/>
      <c r="BS11" s="4168"/>
      <c r="BT11" s="4134" t="s">
        <v>1285</v>
      </c>
      <c r="BU11" s="4135"/>
      <c r="BV11" s="4135"/>
      <c r="BW11" s="4135"/>
      <c r="BX11" s="4135"/>
      <c r="BY11" s="4135"/>
      <c r="BZ11" s="4135"/>
      <c r="CA11" s="4135"/>
      <c r="CB11" s="4135"/>
      <c r="CC11" s="4135"/>
      <c r="CD11" s="4135"/>
      <c r="CE11" s="4135"/>
      <c r="CF11" s="4135"/>
      <c r="CG11" s="4135"/>
      <c r="CH11" s="4135"/>
      <c r="CI11" s="4135"/>
      <c r="CJ11" s="4135"/>
      <c r="CK11" s="4166"/>
      <c r="CL11" s="4174"/>
      <c r="CM11" s="4167"/>
      <c r="CN11" s="4167"/>
      <c r="CO11" s="4167"/>
      <c r="CP11" s="4167"/>
      <c r="CQ11" s="4167"/>
      <c r="CR11" s="4167"/>
      <c r="CS11" s="4167"/>
      <c r="CT11" s="4167"/>
      <c r="CU11" s="4167"/>
      <c r="CV11" s="4167"/>
      <c r="CW11" s="4167"/>
      <c r="CX11" s="4168"/>
      <c r="CY11" s="4134" t="s">
        <v>1285</v>
      </c>
      <c r="CZ11" s="4135"/>
      <c r="DA11" s="4135"/>
      <c r="DB11" s="4135"/>
      <c r="DC11" s="4135"/>
      <c r="DD11" s="4135"/>
      <c r="DE11" s="4135"/>
      <c r="DF11" s="4135"/>
      <c r="DG11" s="4135"/>
      <c r="DH11" s="4135"/>
      <c r="DI11" s="4135"/>
      <c r="DJ11" s="4166"/>
      <c r="DK11" s="4174"/>
      <c r="DL11" s="4167"/>
      <c r="DM11" s="4167"/>
      <c r="DN11" s="4167"/>
      <c r="DO11" s="4167"/>
      <c r="DP11" s="4167"/>
      <c r="DQ11" s="4167"/>
      <c r="DR11" s="4167"/>
      <c r="DS11" s="4167"/>
      <c r="DT11" s="4167"/>
      <c r="DU11" s="4167"/>
      <c r="DV11" s="4167"/>
      <c r="DW11" s="4167"/>
      <c r="DX11" s="4167"/>
      <c r="DY11" s="4167"/>
      <c r="DZ11" s="4167"/>
      <c r="EA11" s="4167"/>
      <c r="EB11" s="4167"/>
      <c r="EC11" s="4167"/>
      <c r="ED11" s="4167"/>
      <c r="EE11" s="4167"/>
      <c r="EF11" s="4167"/>
      <c r="EG11" s="4167"/>
      <c r="EH11" s="4167"/>
      <c r="EI11" s="4167"/>
      <c r="EJ11" s="4167"/>
      <c r="EK11" s="4167"/>
      <c r="EL11" s="4167"/>
      <c r="EM11" s="4167"/>
      <c r="EN11" s="4167"/>
      <c r="EO11" s="4167"/>
      <c r="EP11" s="4167"/>
      <c r="EQ11" s="4167"/>
      <c r="ER11" s="4167"/>
      <c r="ES11" s="4167"/>
      <c r="ET11" s="4167"/>
      <c r="EU11" s="4167"/>
      <c r="EV11" s="4167"/>
      <c r="EW11" s="4167"/>
      <c r="EX11" s="4167"/>
      <c r="EY11" s="4167"/>
      <c r="EZ11" s="4167"/>
      <c r="FA11" s="4167"/>
      <c r="FB11" s="4167"/>
      <c r="FC11" s="4167"/>
      <c r="FD11" s="4167"/>
      <c r="FE11" s="4167"/>
      <c r="FF11" s="4167"/>
      <c r="FG11" s="4167"/>
      <c r="FH11" s="4167"/>
      <c r="FI11" s="4167"/>
      <c r="FJ11" s="4167"/>
      <c r="FK11" s="4167"/>
      <c r="FL11" s="4167"/>
      <c r="FM11" s="4167"/>
      <c r="FN11" s="4167"/>
      <c r="FO11" s="4167"/>
      <c r="FP11" s="4167"/>
      <c r="FQ11" s="4167"/>
      <c r="FR11" s="4167"/>
      <c r="FS11" s="4167"/>
      <c r="FT11" s="4167"/>
      <c r="FU11" s="4167"/>
      <c r="FV11" s="4167"/>
      <c r="FW11" s="4172"/>
      <c r="FX11" s="694"/>
      <c r="GC11" s="853">
        <v>12</v>
      </c>
    </row>
    <row r="12" spans="2:185" ht="12.75" customHeight="1">
      <c r="D12" s="865"/>
      <c r="E12" s="864"/>
      <c r="F12" s="3991"/>
      <c r="G12" s="3991"/>
      <c r="H12" s="3991"/>
      <c r="I12" s="3991"/>
      <c r="J12" s="4184"/>
      <c r="K12" s="4184"/>
      <c r="L12" s="4184"/>
      <c r="M12" s="4184"/>
      <c r="N12" s="4184"/>
      <c r="O12" s="3995" t="s">
        <v>1286</v>
      </c>
      <c r="P12" s="3995"/>
      <c r="Q12" s="3995"/>
      <c r="R12" s="3995"/>
      <c r="S12" s="3995" t="s">
        <v>1287</v>
      </c>
      <c r="T12" s="3995"/>
      <c r="U12" s="3995"/>
      <c r="V12" s="3995"/>
      <c r="W12" s="3995"/>
      <c r="X12" s="3995"/>
      <c r="Y12" s="3995"/>
      <c r="Z12" s="3995"/>
      <c r="AA12" s="3995"/>
      <c r="AB12" s="3995"/>
      <c r="AC12" s="4167"/>
      <c r="AD12" s="4167"/>
      <c r="AE12" s="4167"/>
      <c r="AF12" s="4167"/>
      <c r="AG12" s="4167"/>
      <c r="AH12" s="4167"/>
      <c r="AI12" s="4167"/>
      <c r="AJ12" s="4167"/>
      <c r="AK12" s="4167"/>
      <c r="AL12" s="4167"/>
      <c r="AM12" s="4167"/>
      <c r="AN12" s="4167"/>
      <c r="AO12" s="4167"/>
      <c r="AP12" s="4167"/>
      <c r="AQ12" s="4167"/>
      <c r="AR12" s="4167"/>
      <c r="AS12" s="4167"/>
      <c r="AT12" s="4167"/>
      <c r="AU12" s="4167"/>
      <c r="AV12" s="4167"/>
      <c r="AW12" s="4167"/>
      <c r="AX12" s="4167"/>
      <c r="AY12" s="4167"/>
      <c r="AZ12" s="4167"/>
      <c r="BA12" s="4167"/>
      <c r="BB12" s="4167"/>
      <c r="BC12" s="4167"/>
      <c r="BD12" s="4167"/>
      <c r="BE12" s="4167"/>
      <c r="BF12" s="4167"/>
      <c r="BG12" s="4167"/>
      <c r="BH12" s="4167"/>
      <c r="BI12" s="4167"/>
      <c r="BJ12" s="4167"/>
      <c r="BK12" s="4167"/>
      <c r="BL12" s="4167"/>
      <c r="BM12" s="4167"/>
      <c r="BN12" s="4167"/>
      <c r="BO12" s="4167"/>
      <c r="BP12" s="4167"/>
      <c r="BQ12" s="4167"/>
      <c r="BR12" s="4167"/>
      <c r="BS12" s="4168"/>
      <c r="BT12" s="4134" t="s">
        <v>1288</v>
      </c>
      <c r="BU12" s="4135"/>
      <c r="BV12" s="4135"/>
      <c r="BW12" s="4166"/>
      <c r="BX12" s="4134" t="s">
        <v>1289</v>
      </c>
      <c r="BY12" s="4135"/>
      <c r="BZ12" s="4135"/>
      <c r="CA12" s="4166"/>
      <c r="CB12" s="4134" t="s">
        <v>1290</v>
      </c>
      <c r="CC12" s="4166"/>
      <c r="CD12" s="4134" t="s">
        <v>1291</v>
      </c>
      <c r="CE12" s="4135"/>
      <c r="CF12" s="4135"/>
      <c r="CG12" s="4135"/>
      <c r="CH12" s="4135"/>
      <c r="CI12" s="4135"/>
      <c r="CJ12" s="4135"/>
      <c r="CK12" s="4166"/>
      <c r="CL12" s="4174"/>
      <c r="CM12" s="4167"/>
      <c r="CN12" s="4167"/>
      <c r="CO12" s="4167"/>
      <c r="CP12" s="4167"/>
      <c r="CQ12" s="4167"/>
      <c r="CR12" s="4167"/>
      <c r="CS12" s="4167"/>
      <c r="CT12" s="4167"/>
      <c r="CU12" s="4167"/>
      <c r="CV12" s="4167"/>
      <c r="CW12" s="4167"/>
      <c r="CX12" s="4168"/>
      <c r="CY12" s="4134" t="s">
        <v>1292</v>
      </c>
      <c r="CZ12" s="4135"/>
      <c r="DA12" s="4135"/>
      <c r="DB12" s="4135"/>
      <c r="DC12" s="4135"/>
      <c r="DD12" s="4166"/>
      <c r="DE12" s="4134" t="s">
        <v>1293</v>
      </c>
      <c r="DF12" s="4166"/>
      <c r="DG12" s="4134" t="s">
        <v>1291</v>
      </c>
      <c r="DH12" s="4135"/>
      <c r="DI12" s="4135"/>
      <c r="DJ12" s="4166"/>
      <c r="DK12" s="4174"/>
      <c r="DL12" s="4167"/>
      <c r="DM12" s="4167"/>
      <c r="DN12" s="4167"/>
      <c r="DO12" s="4167"/>
      <c r="DP12" s="4167"/>
      <c r="DQ12" s="4167"/>
      <c r="DR12" s="4167"/>
      <c r="DS12" s="4167"/>
      <c r="DT12" s="4167"/>
      <c r="DU12" s="4167"/>
      <c r="DV12" s="4167"/>
      <c r="DW12" s="4167"/>
      <c r="DX12" s="4167"/>
      <c r="DY12" s="4167"/>
      <c r="DZ12" s="4167"/>
      <c r="EA12" s="4167"/>
      <c r="EB12" s="4167"/>
      <c r="EC12" s="4167"/>
      <c r="ED12" s="4167"/>
      <c r="EE12" s="4167"/>
      <c r="EF12" s="4167"/>
      <c r="EG12" s="4167"/>
      <c r="EH12" s="4167"/>
      <c r="EI12" s="4167"/>
      <c r="EJ12" s="4167"/>
      <c r="EK12" s="4167"/>
      <c r="EL12" s="4167"/>
      <c r="EM12" s="4167"/>
      <c r="EN12" s="4167"/>
      <c r="EO12" s="4167"/>
      <c r="EP12" s="4167"/>
      <c r="EQ12" s="4167"/>
      <c r="ER12" s="4167"/>
      <c r="ES12" s="4167"/>
      <c r="ET12" s="4167"/>
      <c r="EU12" s="4167"/>
      <c r="EV12" s="4167"/>
      <c r="EW12" s="4167"/>
      <c r="EX12" s="4167"/>
      <c r="EY12" s="4167"/>
      <c r="EZ12" s="4167"/>
      <c r="FA12" s="4167"/>
      <c r="FB12" s="4167"/>
      <c r="FC12" s="4167"/>
      <c r="FD12" s="4167"/>
      <c r="FE12" s="4167"/>
      <c r="FF12" s="4167"/>
      <c r="FG12" s="4167"/>
      <c r="FH12" s="4167"/>
      <c r="FI12" s="4167"/>
      <c r="FJ12" s="4167"/>
      <c r="FK12" s="4167"/>
      <c r="FL12" s="4167"/>
      <c r="FM12" s="4167"/>
      <c r="FN12" s="4167"/>
      <c r="FO12" s="4167"/>
      <c r="FP12" s="4167"/>
      <c r="FQ12" s="4167"/>
      <c r="FR12" s="4167"/>
      <c r="FS12" s="4167"/>
      <c r="FT12" s="4167"/>
      <c r="FU12" s="4167"/>
      <c r="FV12" s="4167"/>
      <c r="FW12" s="4172"/>
      <c r="FX12" s="694"/>
      <c r="GC12" s="853">
        <v>12</v>
      </c>
    </row>
    <row r="13" spans="2:185" ht="37.9" customHeight="1">
      <c r="D13" s="865"/>
      <c r="E13" s="864"/>
      <c r="F13" s="3991"/>
      <c r="G13" s="3991"/>
      <c r="H13" s="3991"/>
      <c r="I13" s="3991"/>
      <c r="J13" s="4184"/>
      <c r="K13" s="4184"/>
      <c r="L13" s="4184"/>
      <c r="M13" s="4184"/>
      <c r="N13" s="4184"/>
      <c r="O13" s="3995" t="s">
        <v>1294</v>
      </c>
      <c r="P13" s="3995"/>
      <c r="Q13" s="3995"/>
      <c r="R13" s="3995"/>
      <c r="S13" s="4095" t="s">
        <v>1295</v>
      </c>
      <c r="T13" s="4136"/>
      <c r="U13" s="3889" t="s">
        <v>1296</v>
      </c>
      <c r="V13" s="3889"/>
      <c r="W13" s="3889"/>
      <c r="X13" s="3889"/>
      <c r="Y13" s="3889" t="s">
        <v>1297</v>
      </c>
      <c r="Z13" s="3889"/>
      <c r="AA13" s="3889"/>
      <c r="AB13" s="3889"/>
      <c r="AC13" s="4167"/>
      <c r="AD13" s="4167"/>
      <c r="AE13" s="4167"/>
      <c r="AF13" s="4167"/>
      <c r="AG13" s="4167"/>
      <c r="AH13" s="4167"/>
      <c r="AI13" s="4167"/>
      <c r="AJ13" s="4167"/>
      <c r="AK13" s="4167"/>
      <c r="AL13" s="4167"/>
      <c r="AM13" s="4167"/>
      <c r="AN13" s="4167"/>
      <c r="AO13" s="4167"/>
      <c r="AP13" s="4167"/>
      <c r="AQ13" s="4167"/>
      <c r="AR13" s="4167"/>
      <c r="AS13" s="4167"/>
      <c r="AT13" s="4167"/>
      <c r="AU13" s="4167"/>
      <c r="AV13" s="4167"/>
      <c r="AW13" s="4167"/>
      <c r="AX13" s="4167"/>
      <c r="AY13" s="4167"/>
      <c r="AZ13" s="4167"/>
      <c r="BA13" s="4167"/>
      <c r="BB13" s="4167"/>
      <c r="BC13" s="4167"/>
      <c r="BD13" s="4167"/>
      <c r="BE13" s="4167"/>
      <c r="BF13" s="4167"/>
      <c r="BG13" s="4167"/>
      <c r="BH13" s="4167"/>
      <c r="BI13" s="4167"/>
      <c r="BJ13" s="4167"/>
      <c r="BK13" s="4167"/>
      <c r="BL13" s="4167"/>
      <c r="BM13" s="4167"/>
      <c r="BN13" s="4167"/>
      <c r="BO13" s="4167"/>
      <c r="BP13" s="4167"/>
      <c r="BQ13" s="4167"/>
      <c r="BR13" s="4167"/>
      <c r="BS13" s="4168"/>
      <c r="BT13" s="4095" t="s">
        <v>1298</v>
      </c>
      <c r="BU13" s="4136"/>
      <c r="BV13" s="4095" t="s">
        <v>1299</v>
      </c>
      <c r="BW13" s="4136"/>
      <c r="BX13" s="4095" t="s">
        <v>1300</v>
      </c>
      <c r="BY13" s="4136"/>
      <c r="BZ13" s="4095" t="s">
        <v>1301</v>
      </c>
      <c r="CA13" s="4136"/>
      <c r="CB13" s="4095" t="s">
        <v>1302</v>
      </c>
      <c r="CC13" s="4136"/>
      <c r="CD13" s="4095" t="s">
        <v>1303</v>
      </c>
      <c r="CE13" s="4136"/>
      <c r="CF13" s="4095" t="s">
        <v>1304</v>
      </c>
      <c r="CG13" s="4136"/>
      <c r="CH13" s="4134" t="s">
        <v>1305</v>
      </c>
      <c r="CI13" s="4135"/>
      <c r="CJ13" s="4135"/>
      <c r="CK13" s="4166"/>
      <c r="CL13" s="4174"/>
      <c r="CM13" s="4167"/>
      <c r="CN13" s="4167"/>
      <c r="CO13" s="4167"/>
      <c r="CP13" s="4167"/>
      <c r="CQ13" s="4167"/>
      <c r="CR13" s="4167"/>
      <c r="CS13" s="4167"/>
      <c r="CT13" s="4167"/>
      <c r="CU13" s="4167"/>
      <c r="CV13" s="4167"/>
      <c r="CW13" s="4167"/>
      <c r="CX13" s="4168"/>
      <c r="CY13" s="4095" t="s">
        <v>1306</v>
      </c>
      <c r="CZ13" s="4136"/>
      <c r="DA13" s="4095" t="s">
        <v>1307</v>
      </c>
      <c r="DB13" s="4136"/>
      <c r="DC13" s="4095" t="s">
        <v>1308</v>
      </c>
      <c r="DD13" s="4136"/>
      <c r="DE13" s="4095" t="s">
        <v>1309</v>
      </c>
      <c r="DF13" s="4136"/>
      <c r="DG13" s="4134" t="s">
        <v>1310</v>
      </c>
      <c r="DH13" s="4135"/>
      <c r="DI13" s="4135"/>
      <c r="DJ13" s="4166"/>
      <c r="DK13" s="4174"/>
      <c r="DL13" s="4167"/>
      <c r="DM13" s="4167"/>
      <c r="DN13" s="4167"/>
      <c r="DO13" s="4167"/>
      <c r="DP13" s="4167"/>
      <c r="DQ13" s="4167"/>
      <c r="DR13" s="4167"/>
      <c r="DS13" s="4167"/>
      <c r="DT13" s="4167"/>
      <c r="DU13" s="4167"/>
      <c r="DV13" s="4167"/>
      <c r="DW13" s="4167"/>
      <c r="DX13" s="4167"/>
      <c r="DY13" s="4167"/>
      <c r="DZ13" s="4167"/>
      <c r="EA13" s="4167"/>
      <c r="EB13" s="4167"/>
      <c r="EC13" s="4167"/>
      <c r="ED13" s="4167"/>
      <c r="EE13" s="4167"/>
      <c r="EF13" s="4167"/>
      <c r="EG13" s="4167"/>
      <c r="EH13" s="4167"/>
      <c r="EI13" s="4167"/>
      <c r="EJ13" s="4167"/>
      <c r="EK13" s="4167"/>
      <c r="EL13" s="4167"/>
      <c r="EM13" s="4167"/>
      <c r="EN13" s="4167"/>
      <c r="EO13" s="4167"/>
      <c r="EP13" s="4167"/>
      <c r="EQ13" s="4167"/>
      <c r="ER13" s="4167"/>
      <c r="ES13" s="4167"/>
      <c r="ET13" s="4167"/>
      <c r="EU13" s="4167"/>
      <c r="EV13" s="4167"/>
      <c r="EW13" s="4167"/>
      <c r="EX13" s="4167"/>
      <c r="EY13" s="4167"/>
      <c r="EZ13" s="4167"/>
      <c r="FA13" s="4167"/>
      <c r="FB13" s="4167"/>
      <c r="FC13" s="4167"/>
      <c r="FD13" s="4167"/>
      <c r="FE13" s="4167"/>
      <c r="FF13" s="4167"/>
      <c r="FG13" s="4167"/>
      <c r="FH13" s="4167"/>
      <c r="FI13" s="4167"/>
      <c r="FJ13" s="4167"/>
      <c r="FK13" s="4167"/>
      <c r="FL13" s="4167"/>
      <c r="FM13" s="4167"/>
      <c r="FN13" s="4167"/>
      <c r="FO13" s="4167"/>
      <c r="FP13" s="4167"/>
      <c r="FQ13" s="4167"/>
      <c r="FR13" s="4167"/>
      <c r="FS13" s="4167"/>
      <c r="FT13" s="4167"/>
      <c r="FU13" s="4167"/>
      <c r="FV13" s="4167"/>
      <c r="FW13" s="4172"/>
      <c r="FX13" s="694"/>
      <c r="GC13" s="853">
        <v>36</v>
      </c>
    </row>
    <row r="14" spans="2:185" ht="37.9" customHeight="1">
      <c r="D14" s="865"/>
      <c r="E14" s="864"/>
      <c r="F14" s="3991"/>
      <c r="G14" s="3991"/>
      <c r="H14" s="3991"/>
      <c r="I14" s="3991"/>
      <c r="J14" s="4184"/>
      <c r="K14" s="4184"/>
      <c r="L14" s="4184"/>
      <c r="M14" s="4184"/>
      <c r="N14" s="4184"/>
      <c r="O14" s="4095" t="s">
        <v>1311</v>
      </c>
      <c r="P14" s="4136"/>
      <c r="Q14" s="4095" t="s">
        <v>1312</v>
      </c>
      <c r="R14" s="4136"/>
      <c r="S14" s="4096"/>
      <c r="T14" s="3999"/>
      <c r="U14" s="4095" t="s">
        <v>1044</v>
      </c>
      <c r="V14" s="4136"/>
      <c r="W14" s="4095" t="s">
        <v>1047</v>
      </c>
      <c r="X14" s="4136"/>
      <c r="Y14" s="4095" t="s">
        <v>1044</v>
      </c>
      <c r="Z14" s="4136"/>
      <c r="AA14" s="4095" t="s">
        <v>1054</v>
      </c>
      <c r="AB14" s="4136"/>
      <c r="AC14" s="4167"/>
      <c r="AD14" s="4167"/>
      <c r="AE14" s="4167"/>
      <c r="AF14" s="4167"/>
      <c r="AG14" s="4167"/>
      <c r="AH14" s="4167"/>
      <c r="AI14" s="4167"/>
      <c r="AJ14" s="4167"/>
      <c r="AK14" s="4167"/>
      <c r="AL14" s="4167"/>
      <c r="AM14" s="4167"/>
      <c r="AN14" s="4167"/>
      <c r="AO14" s="4167"/>
      <c r="AP14" s="4167"/>
      <c r="AQ14" s="4167"/>
      <c r="AR14" s="4167"/>
      <c r="AS14" s="4167"/>
      <c r="AT14" s="4167"/>
      <c r="AU14" s="4167"/>
      <c r="AV14" s="4167"/>
      <c r="AW14" s="4167"/>
      <c r="AX14" s="4167"/>
      <c r="AY14" s="4167"/>
      <c r="AZ14" s="4167"/>
      <c r="BA14" s="4167"/>
      <c r="BB14" s="4167"/>
      <c r="BC14" s="4167"/>
      <c r="BD14" s="4167"/>
      <c r="BE14" s="4167"/>
      <c r="BF14" s="4167"/>
      <c r="BG14" s="4167"/>
      <c r="BH14" s="4167"/>
      <c r="BI14" s="4167"/>
      <c r="BJ14" s="4167"/>
      <c r="BK14" s="4167"/>
      <c r="BL14" s="4167"/>
      <c r="BM14" s="4167"/>
      <c r="BN14" s="4167"/>
      <c r="BO14" s="4167"/>
      <c r="BP14" s="4167"/>
      <c r="BQ14" s="4167"/>
      <c r="BR14" s="4167"/>
      <c r="BS14" s="4168"/>
      <c r="BT14" s="4096"/>
      <c r="BU14" s="3999"/>
      <c r="BV14" s="4096"/>
      <c r="BW14" s="3999"/>
      <c r="BX14" s="4096"/>
      <c r="BY14" s="3999"/>
      <c r="BZ14" s="4096"/>
      <c r="CA14" s="3999"/>
      <c r="CB14" s="4096"/>
      <c r="CC14" s="3999"/>
      <c r="CD14" s="4096"/>
      <c r="CE14" s="3999"/>
      <c r="CF14" s="4096"/>
      <c r="CG14" s="3999"/>
      <c r="CH14" s="4095" t="s">
        <v>1313</v>
      </c>
      <c r="CI14" s="4136"/>
      <c r="CJ14" s="4095" t="s">
        <v>1314</v>
      </c>
      <c r="CK14" s="4136"/>
      <c r="CL14" s="4174"/>
      <c r="CM14" s="4167"/>
      <c r="CN14" s="4167"/>
      <c r="CO14" s="4167"/>
      <c r="CP14" s="4167"/>
      <c r="CQ14" s="4167"/>
      <c r="CR14" s="4167"/>
      <c r="CS14" s="4167"/>
      <c r="CT14" s="4167"/>
      <c r="CU14" s="4167"/>
      <c r="CV14" s="4167"/>
      <c r="CW14" s="4167"/>
      <c r="CX14" s="4168"/>
      <c r="CY14" s="4096"/>
      <c r="CZ14" s="3999"/>
      <c r="DA14" s="4096"/>
      <c r="DB14" s="3999"/>
      <c r="DC14" s="4096"/>
      <c r="DD14" s="3999"/>
      <c r="DE14" s="4096"/>
      <c r="DF14" s="3999"/>
      <c r="DG14" s="4095" t="s">
        <v>1315</v>
      </c>
      <c r="DH14" s="4136"/>
      <c r="DI14" s="4095" t="s">
        <v>1316</v>
      </c>
      <c r="DJ14" s="4136"/>
      <c r="DK14" s="4174"/>
      <c r="DL14" s="4167"/>
      <c r="DM14" s="4167"/>
      <c r="DN14" s="4167"/>
      <c r="DO14" s="4167"/>
      <c r="DP14" s="4167"/>
      <c r="DQ14" s="4167"/>
      <c r="DR14" s="4167"/>
      <c r="DS14" s="4167"/>
      <c r="DT14" s="4167"/>
      <c r="DU14" s="4167"/>
      <c r="DV14" s="4167"/>
      <c r="DW14" s="4167"/>
      <c r="DX14" s="4167"/>
      <c r="DY14" s="4167"/>
      <c r="DZ14" s="4167"/>
      <c r="EA14" s="4167"/>
      <c r="EB14" s="4167"/>
      <c r="EC14" s="4167"/>
      <c r="ED14" s="4167"/>
      <c r="EE14" s="4167"/>
      <c r="EF14" s="4167"/>
      <c r="EG14" s="4167"/>
      <c r="EH14" s="4167"/>
      <c r="EI14" s="4167"/>
      <c r="EJ14" s="4167"/>
      <c r="EK14" s="4167"/>
      <c r="EL14" s="4167"/>
      <c r="EM14" s="4167"/>
      <c r="EN14" s="4167"/>
      <c r="EO14" s="4167"/>
      <c r="EP14" s="4167"/>
      <c r="EQ14" s="4167"/>
      <c r="ER14" s="4167"/>
      <c r="ES14" s="4167"/>
      <c r="ET14" s="4167"/>
      <c r="EU14" s="4167"/>
      <c r="EV14" s="4167"/>
      <c r="EW14" s="4167"/>
      <c r="EX14" s="4167"/>
      <c r="EY14" s="4167"/>
      <c r="EZ14" s="4167"/>
      <c r="FA14" s="4167"/>
      <c r="FB14" s="4167"/>
      <c r="FC14" s="4167"/>
      <c r="FD14" s="4167"/>
      <c r="FE14" s="4167"/>
      <c r="FF14" s="4167"/>
      <c r="FG14" s="4167"/>
      <c r="FH14" s="4167"/>
      <c r="FI14" s="4167"/>
      <c r="FJ14" s="4167"/>
      <c r="FK14" s="4167"/>
      <c r="FL14" s="4167"/>
      <c r="FM14" s="4167"/>
      <c r="FN14" s="4167"/>
      <c r="FO14" s="4167"/>
      <c r="FP14" s="4167"/>
      <c r="FQ14" s="4167"/>
      <c r="FR14" s="4167"/>
      <c r="FS14" s="4167"/>
      <c r="FT14" s="4167"/>
      <c r="FU14" s="4167"/>
      <c r="FV14" s="4167"/>
      <c r="FW14" s="4172"/>
      <c r="FX14" s="694"/>
      <c r="GC14" s="853">
        <v>36</v>
      </c>
    </row>
    <row r="15" spans="2:185" ht="37.9" customHeight="1">
      <c r="D15" s="865"/>
      <c r="E15" s="864"/>
      <c r="F15" s="3991"/>
      <c r="G15" s="3991"/>
      <c r="H15" s="3991"/>
      <c r="I15" s="3991"/>
      <c r="J15" s="4184"/>
      <c r="K15" s="4184"/>
      <c r="L15" s="4184"/>
      <c r="M15" s="4184"/>
      <c r="N15" s="4184"/>
      <c r="O15" s="4097"/>
      <c r="P15" s="4153"/>
      <c r="Q15" s="4097"/>
      <c r="R15" s="4153"/>
      <c r="S15" s="4097"/>
      <c r="T15" s="4153"/>
      <c r="U15" s="4097"/>
      <c r="V15" s="4153"/>
      <c r="W15" s="4097"/>
      <c r="X15" s="4153"/>
      <c r="Y15" s="4097"/>
      <c r="Z15" s="4153"/>
      <c r="AA15" s="4097"/>
      <c r="AB15" s="4153"/>
      <c r="AC15" s="4167"/>
      <c r="AD15" s="4167"/>
      <c r="AE15" s="4167"/>
      <c r="AF15" s="4167"/>
      <c r="AG15" s="4167"/>
      <c r="AH15" s="4167"/>
      <c r="AI15" s="4167"/>
      <c r="AJ15" s="4167"/>
      <c r="AK15" s="4167"/>
      <c r="AL15" s="4167"/>
      <c r="AM15" s="4167"/>
      <c r="AN15" s="4167"/>
      <c r="AO15" s="4167"/>
      <c r="AP15" s="4167"/>
      <c r="AQ15" s="4167"/>
      <c r="AR15" s="4167"/>
      <c r="AS15" s="4167"/>
      <c r="AT15" s="4167"/>
      <c r="AU15" s="4167"/>
      <c r="AV15" s="4167"/>
      <c r="AW15" s="4167"/>
      <c r="AX15" s="4167"/>
      <c r="AY15" s="4167"/>
      <c r="AZ15" s="4167"/>
      <c r="BA15" s="4167"/>
      <c r="BB15" s="4167"/>
      <c r="BC15" s="4167"/>
      <c r="BD15" s="4167"/>
      <c r="BE15" s="4167"/>
      <c r="BF15" s="4167"/>
      <c r="BG15" s="4167"/>
      <c r="BH15" s="4167"/>
      <c r="BI15" s="4167"/>
      <c r="BJ15" s="4167"/>
      <c r="BK15" s="4167"/>
      <c r="BL15" s="4167"/>
      <c r="BM15" s="4167"/>
      <c r="BN15" s="4167"/>
      <c r="BO15" s="4167"/>
      <c r="BP15" s="4167"/>
      <c r="BQ15" s="4167"/>
      <c r="BR15" s="4167"/>
      <c r="BS15" s="4168"/>
      <c r="BT15" s="4097"/>
      <c r="BU15" s="4153"/>
      <c r="BV15" s="4097"/>
      <c r="BW15" s="4153"/>
      <c r="BX15" s="4097"/>
      <c r="BY15" s="4153"/>
      <c r="BZ15" s="4097"/>
      <c r="CA15" s="4153"/>
      <c r="CB15" s="4097"/>
      <c r="CC15" s="4153"/>
      <c r="CD15" s="4097"/>
      <c r="CE15" s="4153"/>
      <c r="CF15" s="4097"/>
      <c r="CG15" s="4153"/>
      <c r="CH15" s="4097"/>
      <c r="CI15" s="4153"/>
      <c r="CJ15" s="4097"/>
      <c r="CK15" s="4153"/>
      <c r="CL15" s="4174"/>
      <c r="CM15" s="4167"/>
      <c r="CN15" s="4167"/>
      <c r="CO15" s="4167"/>
      <c r="CP15" s="4167"/>
      <c r="CQ15" s="4167"/>
      <c r="CR15" s="4167"/>
      <c r="CS15" s="4167"/>
      <c r="CT15" s="4167"/>
      <c r="CU15" s="4167"/>
      <c r="CV15" s="4167"/>
      <c r="CW15" s="4167"/>
      <c r="CX15" s="4168"/>
      <c r="CY15" s="4097"/>
      <c r="CZ15" s="4153"/>
      <c r="DA15" s="4097"/>
      <c r="DB15" s="4153"/>
      <c r="DC15" s="4097"/>
      <c r="DD15" s="4153"/>
      <c r="DE15" s="4097"/>
      <c r="DF15" s="4153"/>
      <c r="DG15" s="4097"/>
      <c r="DH15" s="4153"/>
      <c r="DI15" s="4097"/>
      <c r="DJ15" s="4153"/>
      <c r="DK15" s="4174"/>
      <c r="DL15" s="4167"/>
      <c r="DM15" s="4167"/>
      <c r="DN15" s="4167"/>
      <c r="DO15" s="4167"/>
      <c r="DP15" s="4167"/>
      <c r="DQ15" s="4167"/>
      <c r="DR15" s="4167"/>
      <c r="DS15" s="4167"/>
      <c r="DT15" s="4167"/>
      <c r="DU15" s="4167"/>
      <c r="DV15" s="4167"/>
      <c r="DW15" s="4167"/>
      <c r="DX15" s="4167"/>
      <c r="DY15" s="4167"/>
      <c r="DZ15" s="4167"/>
      <c r="EA15" s="4167"/>
      <c r="EB15" s="4167"/>
      <c r="EC15" s="4167"/>
      <c r="ED15" s="4167"/>
      <c r="EE15" s="4167"/>
      <c r="EF15" s="4167"/>
      <c r="EG15" s="4167"/>
      <c r="EH15" s="4167"/>
      <c r="EI15" s="4167"/>
      <c r="EJ15" s="4167"/>
      <c r="EK15" s="4167"/>
      <c r="EL15" s="4167"/>
      <c r="EM15" s="4167"/>
      <c r="EN15" s="4167"/>
      <c r="EO15" s="4167"/>
      <c r="EP15" s="4167"/>
      <c r="EQ15" s="4167"/>
      <c r="ER15" s="4167"/>
      <c r="ES15" s="4167"/>
      <c r="ET15" s="4167"/>
      <c r="EU15" s="4167"/>
      <c r="EV15" s="4167"/>
      <c r="EW15" s="4167"/>
      <c r="EX15" s="4167"/>
      <c r="EY15" s="4167"/>
      <c r="EZ15" s="4167"/>
      <c r="FA15" s="4167"/>
      <c r="FB15" s="4167"/>
      <c r="FC15" s="4167"/>
      <c r="FD15" s="4167"/>
      <c r="FE15" s="4167"/>
      <c r="FF15" s="4167"/>
      <c r="FG15" s="4167"/>
      <c r="FH15" s="4167"/>
      <c r="FI15" s="4167"/>
      <c r="FJ15" s="4167"/>
      <c r="FK15" s="4167"/>
      <c r="FL15" s="4167"/>
      <c r="FM15" s="4167"/>
      <c r="FN15" s="4167"/>
      <c r="FO15" s="4167"/>
      <c r="FP15" s="4167"/>
      <c r="FQ15" s="4167"/>
      <c r="FR15" s="4167"/>
      <c r="FS15" s="4167"/>
      <c r="FT15" s="4167"/>
      <c r="FU15" s="4167"/>
      <c r="FV15" s="4167"/>
      <c r="FW15" s="4172"/>
      <c r="FX15" s="694"/>
      <c r="GC15" s="853">
        <v>36</v>
      </c>
    </row>
    <row r="16" spans="2:185" ht="12.75" customHeight="1">
      <c r="D16" s="865"/>
      <c r="E16" s="864"/>
      <c r="F16" s="3991"/>
      <c r="G16" s="3991"/>
      <c r="H16" s="3991"/>
      <c r="I16" s="3991"/>
      <c r="J16" s="4184"/>
      <c r="K16" s="4184"/>
      <c r="L16" s="4184"/>
      <c r="M16" s="4184"/>
      <c r="N16" s="4184"/>
      <c r="O16" s="4134" t="s">
        <v>1034</v>
      </c>
      <c r="P16" s="4166"/>
      <c r="Q16" s="4134" t="s">
        <v>1036</v>
      </c>
      <c r="R16" s="4166"/>
      <c r="S16" s="4134" t="s">
        <v>1040</v>
      </c>
      <c r="T16" s="4166"/>
      <c r="U16" s="4134" t="s">
        <v>1045</v>
      </c>
      <c r="V16" s="4166"/>
      <c r="W16" s="4134" t="s">
        <v>1048</v>
      </c>
      <c r="X16" s="4166"/>
      <c r="Y16" s="4134" t="s">
        <v>1052</v>
      </c>
      <c r="Z16" s="4166"/>
      <c r="AA16" s="4134" t="s">
        <v>1055</v>
      </c>
      <c r="AB16" s="4166"/>
      <c r="AC16" s="4167"/>
      <c r="AD16" s="4167"/>
      <c r="AE16" s="4167"/>
      <c r="AF16" s="4167"/>
      <c r="AG16" s="4167"/>
      <c r="AH16" s="4167"/>
      <c r="AI16" s="4167"/>
      <c r="AJ16" s="4167"/>
      <c r="AK16" s="4167"/>
      <c r="AL16" s="4167"/>
      <c r="AM16" s="4167"/>
      <c r="AN16" s="4167"/>
      <c r="AO16" s="4167"/>
      <c r="AP16" s="4167"/>
      <c r="AQ16" s="4167"/>
      <c r="AR16" s="4167"/>
      <c r="AS16" s="4167"/>
      <c r="AT16" s="4167"/>
      <c r="AU16" s="4167"/>
      <c r="AV16" s="4167"/>
      <c r="AW16" s="4167"/>
      <c r="AX16" s="4167"/>
      <c r="AY16" s="4167"/>
      <c r="AZ16" s="4167"/>
      <c r="BA16" s="4167"/>
      <c r="BB16" s="4167"/>
      <c r="BC16" s="4167"/>
      <c r="BD16" s="4167"/>
      <c r="BE16" s="4167"/>
      <c r="BF16" s="4167"/>
      <c r="BG16" s="4167"/>
      <c r="BH16" s="4167"/>
      <c r="BI16" s="4167"/>
      <c r="BJ16" s="4167"/>
      <c r="BK16" s="4167"/>
      <c r="BL16" s="4167"/>
      <c r="BM16" s="4167"/>
      <c r="BN16" s="4167"/>
      <c r="BO16" s="4167"/>
      <c r="BP16" s="4167"/>
      <c r="BQ16" s="4167"/>
      <c r="BR16" s="4167"/>
      <c r="BS16" s="4168"/>
      <c r="BT16" s="4134" t="s">
        <v>767</v>
      </c>
      <c r="BU16" s="4166"/>
      <c r="BV16" s="4134" t="s">
        <v>767</v>
      </c>
      <c r="BW16" s="4166"/>
      <c r="BX16" s="4134" t="s">
        <v>767</v>
      </c>
      <c r="BY16" s="4166"/>
      <c r="BZ16" s="4134" t="s">
        <v>767</v>
      </c>
      <c r="CA16" s="4166"/>
      <c r="CB16" s="4134" t="s">
        <v>1317</v>
      </c>
      <c r="CC16" s="4166"/>
      <c r="CD16" s="4134" t="s">
        <v>767</v>
      </c>
      <c r="CE16" s="4166"/>
      <c r="CF16" s="4134" t="s">
        <v>1318</v>
      </c>
      <c r="CG16" s="4166"/>
      <c r="CH16" s="4134" t="s">
        <v>1319</v>
      </c>
      <c r="CI16" s="4166"/>
      <c r="CJ16" s="4134" t="s">
        <v>1319</v>
      </c>
      <c r="CK16" s="4166"/>
      <c r="CL16" s="4174"/>
      <c r="CM16" s="4167"/>
      <c r="CN16" s="4167"/>
      <c r="CO16" s="4167"/>
      <c r="CP16" s="4167"/>
      <c r="CQ16" s="4167"/>
      <c r="CR16" s="4167"/>
      <c r="CS16" s="4167"/>
      <c r="CT16" s="4167"/>
      <c r="CU16" s="4167"/>
      <c r="CV16" s="4167"/>
      <c r="CW16" s="4167"/>
      <c r="CX16" s="4168"/>
      <c r="CY16" s="4095" t="s">
        <v>767</v>
      </c>
      <c r="CZ16" s="4136"/>
      <c r="DA16" s="4095" t="s">
        <v>767</v>
      </c>
      <c r="DB16" s="4136"/>
      <c r="DC16" s="4095" t="s">
        <v>767</v>
      </c>
      <c r="DD16" s="4136"/>
      <c r="DE16" s="4134" t="s">
        <v>1317</v>
      </c>
      <c r="DF16" s="4166"/>
      <c r="DG16" s="4134" t="s">
        <v>1320</v>
      </c>
      <c r="DH16" s="4166"/>
      <c r="DI16" s="4134" t="s">
        <v>1320</v>
      </c>
      <c r="DJ16" s="4166"/>
      <c r="DK16" s="4174"/>
      <c r="DL16" s="4167"/>
      <c r="DM16" s="4167"/>
      <c r="DN16" s="4167"/>
      <c r="DO16" s="4167"/>
      <c r="DP16" s="4167"/>
      <c r="DQ16" s="4167"/>
      <c r="DR16" s="4167"/>
      <c r="DS16" s="4167"/>
      <c r="DT16" s="4167"/>
      <c r="DU16" s="4167"/>
      <c r="DV16" s="4167"/>
      <c r="DW16" s="4167"/>
      <c r="DX16" s="4167"/>
      <c r="DY16" s="4167"/>
      <c r="DZ16" s="4167"/>
      <c r="EA16" s="4167"/>
      <c r="EB16" s="4167"/>
      <c r="EC16" s="4167"/>
      <c r="ED16" s="4167"/>
      <c r="EE16" s="4167"/>
      <c r="EF16" s="4167"/>
      <c r="EG16" s="4167"/>
      <c r="EH16" s="4167"/>
      <c r="EI16" s="4167"/>
      <c r="EJ16" s="4167"/>
      <c r="EK16" s="4167"/>
      <c r="EL16" s="4167"/>
      <c r="EM16" s="4167"/>
      <c r="EN16" s="4167"/>
      <c r="EO16" s="4167"/>
      <c r="EP16" s="4167"/>
      <c r="EQ16" s="4167"/>
      <c r="ER16" s="4167"/>
      <c r="ES16" s="4167"/>
      <c r="ET16" s="4167"/>
      <c r="EU16" s="4167"/>
      <c r="EV16" s="4167"/>
      <c r="EW16" s="4167"/>
      <c r="EX16" s="4167"/>
      <c r="EY16" s="4167"/>
      <c r="EZ16" s="4167"/>
      <c r="FA16" s="4167"/>
      <c r="FB16" s="4167"/>
      <c r="FC16" s="4167"/>
      <c r="FD16" s="4167"/>
      <c r="FE16" s="4167"/>
      <c r="FF16" s="4167"/>
      <c r="FG16" s="4167"/>
      <c r="FH16" s="4167"/>
      <c r="FI16" s="4167"/>
      <c r="FJ16" s="4167"/>
      <c r="FK16" s="4167"/>
      <c r="FL16" s="4167"/>
      <c r="FM16" s="4167"/>
      <c r="FN16" s="4167"/>
      <c r="FO16" s="4167"/>
      <c r="FP16" s="4167"/>
      <c r="FQ16" s="4167"/>
      <c r="FR16" s="4167"/>
      <c r="FS16" s="4167"/>
      <c r="FT16" s="4167"/>
      <c r="FU16" s="4167"/>
      <c r="FV16" s="4167"/>
      <c r="FW16" s="4172"/>
      <c r="FX16" s="694"/>
      <c r="GC16" s="853">
        <v>12</v>
      </c>
    </row>
    <row r="17" spans="1:185" ht="15.75" customHeight="1">
      <c r="E17" s="864"/>
      <c r="F17" s="3991"/>
      <c r="G17" s="3991"/>
      <c r="H17" s="3991"/>
      <c r="I17" s="3991"/>
      <c r="J17" s="4184"/>
      <c r="K17" s="4184"/>
      <c r="L17" s="4184"/>
      <c r="M17" s="4184"/>
      <c r="N17" s="4184"/>
      <c r="O17" s="1115" t="s">
        <v>1321</v>
      </c>
      <c r="P17" s="1115" t="s">
        <v>1322</v>
      </c>
      <c r="Q17" s="1115" t="s">
        <v>1321</v>
      </c>
      <c r="R17" s="1115" t="s">
        <v>1322</v>
      </c>
      <c r="S17" s="1115" t="s">
        <v>1321</v>
      </c>
      <c r="T17" s="1115" t="s">
        <v>1322</v>
      </c>
      <c r="U17" s="1115" t="s">
        <v>1321</v>
      </c>
      <c r="V17" s="1115" t="s">
        <v>1322</v>
      </c>
      <c r="W17" s="1115" t="s">
        <v>1321</v>
      </c>
      <c r="X17" s="1115" t="s">
        <v>1322</v>
      </c>
      <c r="Y17" s="1115" t="s">
        <v>1321</v>
      </c>
      <c r="Z17" s="1115" t="s">
        <v>1322</v>
      </c>
      <c r="AA17" s="1115" t="s">
        <v>1321</v>
      </c>
      <c r="AB17" s="1115" t="s">
        <v>1322</v>
      </c>
      <c r="AC17" s="4167"/>
      <c r="AD17" s="4167"/>
      <c r="AE17" s="4167"/>
      <c r="AF17" s="4167"/>
      <c r="AG17" s="4167"/>
      <c r="AH17" s="4167"/>
      <c r="AI17" s="4167"/>
      <c r="AJ17" s="4167"/>
      <c r="AK17" s="4167"/>
      <c r="AL17" s="4167"/>
      <c r="AM17" s="4167"/>
      <c r="AN17" s="4167"/>
      <c r="AO17" s="4167"/>
      <c r="AP17" s="4167"/>
      <c r="AQ17" s="4167"/>
      <c r="AR17" s="4167"/>
      <c r="AS17" s="4167"/>
      <c r="AT17" s="4167"/>
      <c r="AU17" s="4167"/>
      <c r="AV17" s="4167"/>
      <c r="AW17" s="4167"/>
      <c r="AX17" s="4167"/>
      <c r="AY17" s="4167"/>
      <c r="AZ17" s="4167"/>
      <c r="BA17" s="4167"/>
      <c r="BB17" s="4167"/>
      <c r="BC17" s="4167"/>
      <c r="BD17" s="4167"/>
      <c r="BE17" s="4167"/>
      <c r="BF17" s="4167"/>
      <c r="BG17" s="4167"/>
      <c r="BH17" s="4167"/>
      <c r="BI17" s="4167"/>
      <c r="BJ17" s="4167"/>
      <c r="BK17" s="4167"/>
      <c r="BL17" s="4167"/>
      <c r="BM17" s="4167"/>
      <c r="BN17" s="4167"/>
      <c r="BO17" s="4167"/>
      <c r="BP17" s="4167"/>
      <c r="BQ17" s="4167"/>
      <c r="BR17" s="4167"/>
      <c r="BS17" s="4168"/>
      <c r="BT17" s="1115" t="s">
        <v>1321</v>
      </c>
      <c r="BU17" s="1115" t="s">
        <v>1322</v>
      </c>
      <c r="BV17" s="1115" t="s">
        <v>1321</v>
      </c>
      <c r="BW17" s="1115" t="s">
        <v>1322</v>
      </c>
      <c r="BX17" s="1115" t="s">
        <v>1321</v>
      </c>
      <c r="BY17" s="1115" t="s">
        <v>1322</v>
      </c>
      <c r="BZ17" s="1115" t="s">
        <v>1321</v>
      </c>
      <c r="CA17" s="1115" t="s">
        <v>1322</v>
      </c>
      <c r="CB17" s="1115" t="s">
        <v>1321</v>
      </c>
      <c r="CC17" s="1115" t="s">
        <v>1322</v>
      </c>
      <c r="CD17" s="1115" t="s">
        <v>1321</v>
      </c>
      <c r="CE17" s="1115" t="s">
        <v>1322</v>
      </c>
      <c r="CF17" s="1115" t="s">
        <v>1321</v>
      </c>
      <c r="CG17" s="1115" t="s">
        <v>1322</v>
      </c>
      <c r="CH17" s="1115" t="s">
        <v>1321</v>
      </c>
      <c r="CI17" s="1115" t="s">
        <v>1322</v>
      </c>
      <c r="CJ17" s="1115" t="s">
        <v>1321</v>
      </c>
      <c r="CK17" s="1115" t="s">
        <v>1322</v>
      </c>
      <c r="CL17" s="4174"/>
      <c r="CM17" s="4167"/>
      <c r="CN17" s="4167"/>
      <c r="CO17" s="4167"/>
      <c r="CP17" s="4167"/>
      <c r="CQ17" s="4167"/>
      <c r="CR17" s="4167"/>
      <c r="CS17" s="4167"/>
      <c r="CT17" s="4167"/>
      <c r="CU17" s="4167"/>
      <c r="CV17" s="4167"/>
      <c r="CW17" s="4167"/>
      <c r="CX17" s="4168"/>
      <c r="CY17" s="1115" t="s">
        <v>1321</v>
      </c>
      <c r="CZ17" s="1115" t="s">
        <v>1322</v>
      </c>
      <c r="DA17" s="1115" t="s">
        <v>1321</v>
      </c>
      <c r="DB17" s="1115" t="s">
        <v>1322</v>
      </c>
      <c r="DC17" s="1115" t="s">
        <v>1321</v>
      </c>
      <c r="DD17" s="1115" t="s">
        <v>1322</v>
      </c>
      <c r="DE17" s="1115" t="s">
        <v>1321</v>
      </c>
      <c r="DF17" s="1115" t="s">
        <v>1322</v>
      </c>
      <c r="DG17" s="1115" t="s">
        <v>1321</v>
      </c>
      <c r="DH17" s="1115" t="s">
        <v>1322</v>
      </c>
      <c r="DI17" s="1115" t="s">
        <v>1321</v>
      </c>
      <c r="DJ17" s="1115" t="s">
        <v>1322</v>
      </c>
      <c r="DK17" s="4174"/>
      <c r="DL17" s="4167"/>
      <c r="DM17" s="4167"/>
      <c r="DN17" s="4167"/>
      <c r="DO17" s="4167"/>
      <c r="DP17" s="4167"/>
      <c r="DQ17" s="4167"/>
      <c r="DR17" s="4167"/>
      <c r="DS17" s="4167"/>
      <c r="DT17" s="4167"/>
      <c r="DU17" s="4167"/>
      <c r="DV17" s="4167"/>
      <c r="DW17" s="4167"/>
      <c r="DX17" s="4167"/>
      <c r="DY17" s="4167"/>
      <c r="DZ17" s="4167"/>
      <c r="EA17" s="4167"/>
      <c r="EB17" s="4167"/>
      <c r="EC17" s="4167"/>
      <c r="ED17" s="4167"/>
      <c r="EE17" s="4167"/>
      <c r="EF17" s="4167"/>
      <c r="EG17" s="4167"/>
      <c r="EH17" s="4167"/>
      <c r="EI17" s="4167"/>
      <c r="EJ17" s="4167"/>
      <c r="EK17" s="4167"/>
      <c r="EL17" s="4167"/>
      <c r="EM17" s="4167"/>
      <c r="EN17" s="4167"/>
      <c r="EO17" s="4167"/>
      <c r="EP17" s="4167"/>
      <c r="EQ17" s="4167"/>
      <c r="ER17" s="4167"/>
      <c r="ES17" s="4167"/>
      <c r="ET17" s="4167"/>
      <c r="EU17" s="4167"/>
      <c r="EV17" s="4167"/>
      <c r="EW17" s="4167"/>
      <c r="EX17" s="4167"/>
      <c r="EY17" s="4167"/>
      <c r="EZ17" s="4167"/>
      <c r="FA17" s="4167"/>
      <c r="FB17" s="4167"/>
      <c r="FC17" s="4167"/>
      <c r="FD17" s="4167"/>
      <c r="FE17" s="4167"/>
      <c r="FF17" s="4167"/>
      <c r="FG17" s="4167"/>
      <c r="FH17" s="4167"/>
      <c r="FI17" s="4167"/>
      <c r="FJ17" s="4167"/>
      <c r="FK17" s="4167"/>
      <c r="FL17" s="4167"/>
      <c r="FM17" s="4167"/>
      <c r="FN17" s="4167"/>
      <c r="FO17" s="4167"/>
      <c r="FP17" s="4167"/>
      <c r="FQ17" s="4167"/>
      <c r="FR17" s="4167"/>
      <c r="FS17" s="4167"/>
      <c r="FT17" s="4167"/>
      <c r="FU17" s="4167"/>
      <c r="FV17" s="4167"/>
      <c r="FW17" s="4173"/>
      <c r="FX17" s="694"/>
      <c r="GC17" s="853">
        <v>15</v>
      </c>
    </row>
    <row r="18" spans="1:185" s="852" customFormat="1" ht="12" hidden="1" customHeight="1">
      <c r="B18" s="850"/>
      <c r="E18" s="866"/>
      <c r="F18" s="1116"/>
      <c r="G18" s="1116"/>
      <c r="H18" s="1116"/>
      <c r="I18" s="1116"/>
      <c r="J18" s="1117"/>
      <c r="K18" s="1117"/>
      <c r="L18" s="1117"/>
      <c r="M18" s="1117"/>
      <c r="N18" s="1117"/>
      <c r="O18" s="1116"/>
      <c r="P18" s="1116"/>
      <c r="Q18" s="1116"/>
      <c r="R18" s="1116"/>
      <c r="S18" s="1116"/>
      <c r="T18" s="1116"/>
      <c r="U18" s="1118"/>
      <c r="V18" s="1118"/>
      <c r="W18" s="1118"/>
      <c r="X18" s="1118"/>
      <c r="Y18" s="1118"/>
      <c r="Z18" s="1118"/>
      <c r="AA18" s="1118"/>
      <c r="AB18" s="1116"/>
      <c r="AC18" s="1117"/>
      <c r="AD18" s="1117"/>
      <c r="AE18" s="1117"/>
      <c r="AF18" s="1117"/>
      <c r="AG18" s="1117"/>
      <c r="AH18" s="1117"/>
      <c r="AI18" s="1117"/>
      <c r="AJ18" s="1117"/>
      <c r="AK18" s="1117"/>
      <c r="AL18" s="1117"/>
      <c r="AM18" s="1117"/>
      <c r="AN18" s="1117"/>
      <c r="AO18" s="1117"/>
      <c r="AP18" s="1117"/>
      <c r="AQ18" s="1117"/>
      <c r="AR18" s="1117"/>
      <c r="AS18" s="1117"/>
      <c r="AT18" s="1117"/>
      <c r="AU18" s="1117"/>
      <c r="AV18" s="1117"/>
      <c r="AW18" s="1117"/>
      <c r="AX18" s="1117"/>
      <c r="AY18" s="1117"/>
      <c r="AZ18" s="1117"/>
      <c r="BA18" s="1117"/>
      <c r="BB18" s="1117"/>
      <c r="BC18" s="1117"/>
      <c r="BD18" s="1117"/>
      <c r="BE18" s="1117"/>
      <c r="BF18" s="1117"/>
      <c r="BG18" s="1117"/>
      <c r="BH18" s="1117"/>
      <c r="BI18" s="1117"/>
      <c r="BJ18" s="1117"/>
      <c r="BK18" s="1117"/>
      <c r="BL18" s="1117"/>
      <c r="BM18" s="1117"/>
      <c r="BN18" s="1117"/>
      <c r="BO18" s="1117"/>
      <c r="BP18" s="1117"/>
      <c r="BQ18" s="1117"/>
      <c r="BR18" s="1117"/>
      <c r="BS18" s="1117"/>
      <c r="BT18" s="1119"/>
      <c r="BU18" s="1119"/>
      <c r="BV18" s="1119"/>
      <c r="BW18" s="1119"/>
      <c r="BX18" s="1119"/>
      <c r="BY18" s="1119"/>
      <c r="BZ18" s="1119"/>
      <c r="CA18" s="1119"/>
      <c r="CB18" s="1119"/>
      <c r="CC18" s="1119"/>
      <c r="CD18" s="1119"/>
      <c r="CE18" s="1119"/>
      <c r="CF18" s="1119"/>
      <c r="CG18" s="1119"/>
      <c r="CH18" s="1119"/>
      <c r="CI18" s="1119"/>
      <c r="CJ18" s="1119"/>
      <c r="CK18" s="1119"/>
      <c r="CL18" s="1117"/>
      <c r="CM18" s="1117"/>
      <c r="CN18" s="1117"/>
      <c r="CO18" s="1117"/>
      <c r="CP18" s="1117"/>
      <c r="CQ18" s="1117"/>
      <c r="CR18" s="1117"/>
      <c r="CS18" s="1117"/>
      <c r="CT18" s="1117"/>
      <c r="CU18" s="1117"/>
      <c r="CV18" s="1117"/>
      <c r="CW18" s="1117"/>
      <c r="CX18" s="1117"/>
      <c r="CY18" s="1119"/>
      <c r="CZ18" s="1119"/>
      <c r="DA18" s="1119"/>
      <c r="DB18" s="1119"/>
      <c r="DC18" s="1119"/>
      <c r="DD18" s="1119"/>
      <c r="DE18" s="1119"/>
      <c r="DF18" s="1119"/>
      <c r="DG18" s="1119"/>
      <c r="DH18" s="1119"/>
      <c r="DI18" s="1119"/>
      <c r="DJ18" s="1119"/>
      <c r="DK18" s="1117"/>
      <c r="DL18" s="1117"/>
      <c r="DM18" s="1117"/>
      <c r="DN18" s="1117"/>
      <c r="DO18" s="1117"/>
      <c r="DP18" s="1117"/>
      <c r="DQ18" s="1117"/>
      <c r="DR18" s="1117"/>
      <c r="DS18" s="1117"/>
      <c r="DT18" s="1117"/>
      <c r="DU18" s="1117"/>
      <c r="DV18" s="1117"/>
      <c r="DW18" s="1117"/>
      <c r="DX18" s="1117"/>
      <c r="DY18" s="1117"/>
      <c r="DZ18" s="1117"/>
      <c r="EA18" s="1117"/>
      <c r="EB18" s="1117"/>
      <c r="EC18" s="1117"/>
      <c r="ED18" s="1117"/>
      <c r="EE18" s="1117"/>
      <c r="EF18" s="1117"/>
      <c r="EG18" s="1117"/>
      <c r="EH18" s="1117"/>
      <c r="EI18" s="1117"/>
      <c r="EJ18" s="1117"/>
      <c r="EK18" s="1117"/>
      <c r="EL18" s="1117"/>
      <c r="EM18" s="1117"/>
      <c r="EN18" s="1117"/>
      <c r="EO18" s="1117"/>
      <c r="EP18" s="1117"/>
      <c r="EQ18" s="1117"/>
      <c r="ER18" s="1117"/>
      <c r="ES18" s="1117"/>
      <c r="ET18" s="1117"/>
      <c r="EU18" s="1117"/>
      <c r="EV18" s="1117"/>
      <c r="EW18" s="1117"/>
      <c r="EX18" s="1117"/>
      <c r="EY18" s="1117"/>
      <c r="EZ18" s="1117"/>
      <c r="FA18" s="1117"/>
      <c r="FB18" s="1117"/>
      <c r="FC18" s="1117"/>
      <c r="FD18" s="1117"/>
      <c r="FE18" s="1117"/>
      <c r="FF18" s="1117"/>
      <c r="FG18" s="1117"/>
      <c r="FH18" s="1117"/>
      <c r="FI18" s="1117"/>
      <c r="FJ18" s="1117"/>
      <c r="FK18" s="1117"/>
      <c r="FL18" s="1117"/>
      <c r="FM18" s="1117"/>
      <c r="FN18" s="1117"/>
      <c r="FO18" s="1117"/>
      <c r="FP18" s="1117"/>
      <c r="FQ18" s="1117"/>
      <c r="FR18" s="1117"/>
      <c r="FS18" s="1117"/>
      <c r="FT18" s="1117"/>
      <c r="FU18" s="1117"/>
      <c r="FV18" s="1117"/>
      <c r="FW18" s="1116"/>
      <c r="FX18" s="1120"/>
      <c r="GC18" s="851">
        <v>0</v>
      </c>
    </row>
    <row r="19" spans="1:185" s="852" customFormat="1" ht="11.25" hidden="1" customHeight="1">
      <c r="B19" s="850"/>
      <c r="E19" s="866"/>
      <c r="F19" s="1116"/>
      <c r="G19" s="1116"/>
      <c r="H19" s="1116"/>
      <c r="I19" s="1116"/>
      <c r="J19" s="1116"/>
      <c r="K19" s="1116"/>
      <c r="L19" s="1116"/>
      <c r="M19" s="1116"/>
      <c r="N19" s="1116"/>
      <c r="O19" s="1116"/>
      <c r="P19" s="1116"/>
      <c r="Q19" s="1116"/>
      <c r="R19" s="1116"/>
      <c r="S19" s="1116"/>
      <c r="T19" s="1116"/>
      <c r="U19" s="1118"/>
      <c r="V19" s="1118"/>
      <c r="W19" s="1118"/>
      <c r="X19" s="1118"/>
      <c r="Y19" s="1118"/>
      <c r="Z19" s="1118"/>
      <c r="AA19" s="1118"/>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20"/>
      <c r="GC19" s="851">
        <v>0</v>
      </c>
    </row>
    <row r="20" spans="1:185" s="852" customFormat="1" ht="11.25" hidden="1" customHeight="1">
      <c r="B20" s="867"/>
      <c r="D20" s="851"/>
      <c r="E20" s="866"/>
      <c r="F20" s="1121" t="s">
        <v>584</v>
      </c>
      <c r="G20" s="1122"/>
      <c r="H20" s="1123"/>
      <c r="I20" s="1123"/>
      <c r="J20" s="1123"/>
      <c r="K20" s="1123"/>
      <c r="L20" s="1123"/>
      <c r="M20" s="1123"/>
      <c r="N20" s="1123"/>
      <c r="O20" s="1122"/>
      <c r="P20" s="1122"/>
      <c r="Q20" s="1122"/>
      <c r="R20" s="1122"/>
      <c r="S20" s="1122"/>
      <c r="T20" s="1122"/>
      <c r="U20" s="1124"/>
      <c r="V20" s="1124"/>
      <c r="W20" s="1124"/>
      <c r="X20" s="1124"/>
      <c r="Y20" s="1124"/>
      <c r="Z20" s="1124"/>
      <c r="AA20" s="1124"/>
      <c r="AB20" s="1122"/>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3"/>
      <c r="CA20" s="1123"/>
      <c r="CB20" s="1123"/>
      <c r="CC20" s="1123"/>
      <c r="CD20" s="1123"/>
      <c r="CE20" s="1123"/>
      <c r="CF20" s="1123"/>
      <c r="CG20" s="1123"/>
      <c r="CH20" s="1123"/>
      <c r="CI20" s="1123"/>
      <c r="CJ20" s="1123"/>
      <c r="CK20" s="1123"/>
      <c r="CL20" s="1125"/>
      <c r="CM20" s="1125"/>
      <c r="CN20" s="1125"/>
      <c r="CO20" s="1125"/>
      <c r="CP20" s="1125"/>
      <c r="CQ20" s="1125"/>
      <c r="CR20" s="1125"/>
      <c r="CS20" s="1125"/>
      <c r="CT20" s="1125"/>
      <c r="CU20" s="1125"/>
      <c r="CV20" s="1125"/>
      <c r="CW20" s="1125"/>
      <c r="CX20" s="1125"/>
      <c r="CY20" s="1125"/>
      <c r="CZ20" s="1125"/>
      <c r="DA20" s="1125"/>
      <c r="DB20" s="1125"/>
      <c r="DC20" s="1125"/>
      <c r="DD20" s="1125"/>
      <c r="DE20" s="1125"/>
      <c r="DF20" s="1125"/>
      <c r="DG20" s="1125"/>
      <c r="DH20" s="1125"/>
      <c r="DI20" s="1125"/>
      <c r="DJ20" s="1125"/>
      <c r="DK20" s="1125"/>
      <c r="DL20" s="1125"/>
      <c r="DM20" s="1125"/>
      <c r="DN20" s="1125"/>
      <c r="DO20" s="1125"/>
      <c r="DP20" s="1125"/>
      <c r="DQ20" s="1125"/>
      <c r="DR20" s="1125"/>
      <c r="DS20" s="1125"/>
      <c r="DT20" s="1125"/>
      <c r="DU20" s="1125"/>
      <c r="DV20" s="1125"/>
      <c r="DW20" s="1125"/>
      <c r="DX20" s="1125"/>
      <c r="DY20" s="1125"/>
      <c r="DZ20" s="1125"/>
      <c r="EA20" s="1125"/>
      <c r="EB20" s="1125"/>
      <c r="EC20" s="1125"/>
      <c r="ED20" s="1125"/>
      <c r="EE20" s="1125"/>
      <c r="EF20" s="1125"/>
      <c r="EG20" s="1125"/>
      <c r="EH20" s="1125"/>
      <c r="EI20" s="1125"/>
      <c r="EJ20" s="1125"/>
      <c r="EK20" s="1125"/>
      <c r="EL20" s="1125"/>
      <c r="EM20" s="1125"/>
      <c r="EN20" s="1125"/>
      <c r="EO20" s="1125"/>
      <c r="EP20" s="1125"/>
      <c r="EQ20" s="1125"/>
      <c r="ER20" s="1125"/>
      <c r="ES20" s="1125"/>
      <c r="ET20" s="1125"/>
      <c r="EU20" s="1125"/>
      <c r="EV20" s="1125"/>
      <c r="EW20" s="1125"/>
      <c r="EX20" s="1125"/>
      <c r="EY20" s="1125"/>
      <c r="EZ20" s="1125"/>
      <c r="FA20" s="1125"/>
      <c r="FB20" s="1125"/>
      <c r="FC20" s="1125"/>
      <c r="FD20" s="1125"/>
      <c r="FE20" s="1125"/>
      <c r="FF20" s="1125"/>
      <c r="FG20" s="1125"/>
      <c r="FH20" s="1125"/>
      <c r="FI20" s="1125"/>
      <c r="FJ20" s="1125"/>
      <c r="FK20" s="1125"/>
      <c r="FL20" s="1125"/>
      <c r="FM20" s="1125"/>
      <c r="FN20" s="1125"/>
      <c r="FO20" s="1125"/>
      <c r="FP20" s="1125"/>
      <c r="FQ20" s="1125"/>
      <c r="FR20" s="1125"/>
      <c r="FS20" s="1125"/>
      <c r="FT20" s="1125"/>
      <c r="FU20" s="1125"/>
      <c r="FV20" s="1125"/>
      <c r="FW20" s="1125"/>
      <c r="FX20" s="1126"/>
      <c r="GC20" s="849">
        <v>0</v>
      </c>
    </row>
    <row r="21" spans="1:185" s="852" customFormat="1" ht="12.75" customHeight="1">
      <c r="A21" s="868"/>
      <c r="B21" s="868"/>
      <c r="C21" s="868"/>
      <c r="D21" s="868"/>
      <c r="E21" s="868"/>
      <c r="F21" s="866"/>
      <c r="G21" s="866"/>
      <c r="H21" s="866"/>
      <c r="I21" s="866"/>
      <c r="J21" s="866"/>
      <c r="K21" s="866"/>
      <c r="L21" s="866"/>
      <c r="M21" s="866"/>
      <c r="N21" s="866"/>
      <c r="O21" s="866"/>
      <c r="P21" s="866"/>
      <c r="Q21" s="866"/>
      <c r="R21" s="866"/>
      <c r="S21" s="869"/>
      <c r="T21" s="869"/>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c r="CW21" s="866"/>
      <c r="CX21" s="866"/>
      <c r="CY21" s="866"/>
      <c r="CZ21" s="866"/>
      <c r="DA21" s="866"/>
      <c r="DB21" s="866"/>
      <c r="DC21" s="866"/>
      <c r="DD21" s="866"/>
      <c r="DE21" s="866"/>
      <c r="DF21" s="866"/>
      <c r="DG21" s="866"/>
      <c r="DH21" s="866"/>
      <c r="DI21" s="866"/>
      <c r="DJ21" s="866"/>
      <c r="DK21" s="866"/>
      <c r="DL21" s="866"/>
      <c r="DM21" s="866"/>
      <c r="DN21" s="866"/>
      <c r="DO21" s="866"/>
      <c r="DP21" s="866"/>
      <c r="DQ21" s="866"/>
      <c r="DR21" s="866"/>
      <c r="DS21" s="866"/>
      <c r="DT21" s="866"/>
      <c r="DU21" s="866"/>
      <c r="DV21" s="866"/>
      <c r="DW21" s="866"/>
      <c r="DX21" s="866"/>
      <c r="DY21" s="866"/>
      <c r="DZ21" s="866"/>
      <c r="EA21" s="866"/>
      <c r="EB21" s="866"/>
      <c r="EC21" s="866"/>
      <c r="ED21" s="866"/>
      <c r="EE21" s="866"/>
      <c r="EF21" s="866"/>
      <c r="EG21" s="866"/>
      <c r="EH21" s="866"/>
      <c r="EI21" s="866"/>
      <c r="EJ21" s="866"/>
      <c r="EK21" s="866"/>
      <c r="EL21" s="866"/>
      <c r="EM21" s="866"/>
      <c r="EN21" s="866"/>
      <c r="EO21" s="866"/>
      <c r="EP21" s="866"/>
      <c r="EQ21" s="866"/>
      <c r="ER21" s="866"/>
      <c r="ES21" s="866"/>
      <c r="ET21" s="866"/>
      <c r="EU21" s="866"/>
      <c r="EV21" s="866"/>
      <c r="EW21" s="866"/>
      <c r="EX21" s="866"/>
      <c r="EY21" s="866"/>
      <c r="EZ21" s="866"/>
      <c r="FA21" s="866"/>
      <c r="FB21" s="866"/>
      <c r="FC21" s="866"/>
      <c r="FD21" s="866"/>
      <c r="FE21" s="866"/>
      <c r="FF21" s="866"/>
      <c r="FG21" s="866"/>
      <c r="FH21" s="866"/>
      <c r="FI21" s="866"/>
      <c r="FJ21" s="866"/>
      <c r="FK21" s="866"/>
      <c r="FL21" s="866"/>
      <c r="FM21" s="866"/>
      <c r="FN21" s="866"/>
      <c r="FO21" s="866"/>
      <c r="FP21" s="866"/>
      <c r="FQ21" s="866"/>
      <c r="FR21" s="866"/>
      <c r="FS21" s="866"/>
      <c r="FT21" s="866"/>
      <c r="FU21" s="866"/>
      <c r="FV21" s="866"/>
      <c r="FW21" s="866"/>
      <c r="FX21" s="868"/>
      <c r="FY21" s="868"/>
      <c r="FZ21" s="868"/>
      <c r="GA21" s="868"/>
      <c r="GB21" s="868"/>
      <c r="GC21" s="849">
        <v>12</v>
      </c>
    </row>
    <row r="22" spans="1:185" s="852" customFormat="1" ht="12.75" customHeight="1">
      <c r="A22" s="868"/>
      <c r="B22" s="868"/>
      <c r="C22" s="868"/>
      <c r="D22" s="868"/>
      <c r="E22" s="868"/>
      <c r="FX22" s="868"/>
      <c r="FY22" s="868"/>
      <c r="FZ22" s="868"/>
      <c r="GA22" s="868"/>
      <c r="GB22" s="868"/>
      <c r="GC22" s="849">
        <v>12</v>
      </c>
    </row>
    <row r="23" spans="1:185" s="990" customFormat="1" ht="12.75" customHeight="1">
      <c r="A23" s="989"/>
      <c r="B23" s="989"/>
      <c r="C23" s="989"/>
      <c r="D23" s="989"/>
      <c r="E23" s="989"/>
      <c r="O23" s="991"/>
      <c r="P23" s="991"/>
      <c r="Q23" s="991"/>
      <c r="R23" s="991"/>
      <c r="S23" s="991"/>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c r="AT23" s="991"/>
      <c r="AU23" s="991"/>
      <c r="AV23" s="991"/>
      <c r="AW23" s="991"/>
      <c r="AX23" s="991"/>
      <c r="AY23" s="991"/>
      <c r="AZ23" s="991"/>
      <c r="BA23" s="991"/>
      <c r="BB23" s="991"/>
      <c r="BC23" s="991"/>
      <c r="BD23" s="991"/>
      <c r="BE23" s="991"/>
      <c r="BF23" s="991"/>
      <c r="BG23" s="991"/>
      <c r="BH23" s="991"/>
      <c r="BI23" s="991"/>
      <c r="BJ23" s="991"/>
      <c r="BK23" s="991"/>
      <c r="BL23" s="991"/>
      <c r="BM23" s="991"/>
      <c r="BN23" s="991"/>
      <c r="BO23" s="991"/>
      <c r="BP23" s="991"/>
      <c r="BQ23" s="991"/>
      <c r="BR23" s="991"/>
      <c r="BS23" s="991"/>
      <c r="BT23" s="992"/>
      <c r="BU23" s="992"/>
      <c r="BV23" s="992"/>
      <c r="BW23" s="992"/>
      <c r="BX23" s="992"/>
      <c r="BY23" s="992"/>
      <c r="BZ23" s="992"/>
      <c r="CA23" s="992"/>
      <c r="CB23" s="992"/>
      <c r="CC23" s="992"/>
      <c r="CD23" s="992"/>
      <c r="CE23" s="992"/>
      <c r="CF23" s="992"/>
      <c r="CG23" s="992"/>
      <c r="CH23" s="992"/>
      <c r="CI23" s="992"/>
      <c r="CJ23" s="992"/>
      <c r="CK23" s="992"/>
      <c r="CL23" s="992"/>
      <c r="CM23" s="992"/>
      <c r="CN23" s="992"/>
      <c r="CO23" s="992"/>
      <c r="CP23" s="992"/>
      <c r="CQ23" s="992"/>
      <c r="CR23" s="992"/>
      <c r="CS23" s="992"/>
      <c r="CT23" s="992"/>
      <c r="CU23" s="992"/>
      <c r="CV23" s="992"/>
      <c r="CW23" s="992"/>
      <c r="CX23" s="992"/>
      <c r="CY23" s="992"/>
      <c r="CZ23" s="992"/>
      <c r="DA23" s="992"/>
      <c r="DB23" s="992"/>
      <c r="DC23" s="992"/>
      <c r="DD23" s="992"/>
      <c r="DE23" s="992"/>
      <c r="DF23" s="992"/>
      <c r="DG23" s="992"/>
      <c r="DH23" s="992"/>
      <c r="DI23" s="992"/>
      <c r="DJ23" s="992"/>
      <c r="DK23" s="992"/>
      <c r="DL23" s="992"/>
      <c r="DM23" s="992"/>
      <c r="DN23" s="992"/>
      <c r="DO23" s="992"/>
      <c r="DP23" s="992"/>
      <c r="DQ23" s="992"/>
      <c r="DR23" s="992"/>
      <c r="DS23" s="992"/>
      <c r="DT23" s="992"/>
      <c r="DU23" s="992"/>
      <c r="DV23" s="992"/>
      <c r="DW23" s="992"/>
      <c r="DX23" s="992"/>
      <c r="FX23" s="989"/>
      <c r="FY23" s="989"/>
      <c r="FZ23" s="989"/>
      <c r="GA23" s="989"/>
      <c r="GB23" s="989"/>
      <c r="GC23" s="990">
        <v>12</v>
      </c>
    </row>
    <row r="24" spans="1:185" ht="12.75" customHeight="1">
      <c r="S24" s="865"/>
      <c r="T24" s="865"/>
      <c r="U24" s="865"/>
      <c r="V24" s="865"/>
      <c r="W24" s="865"/>
      <c r="X24" s="865"/>
      <c r="Y24" s="865"/>
      <c r="Z24" s="865"/>
      <c r="AA24" s="865"/>
      <c r="AB24" s="865"/>
      <c r="FX24" s="865"/>
      <c r="FY24" s="865"/>
      <c r="FZ24" s="865"/>
      <c r="GA24" s="865"/>
      <c r="GB24" s="865"/>
      <c r="GC24" s="853">
        <v>12</v>
      </c>
    </row>
    <row r="25" spans="1:185" ht="12" hidden="1" customHeight="1">
      <c r="A25" s="853" t="s">
        <v>69</v>
      </c>
      <c r="B25" s="863">
        <v>0</v>
      </c>
      <c r="C25" s="853">
        <v>0</v>
      </c>
      <c r="D25" s="853">
        <v>0</v>
      </c>
      <c r="E25" s="853">
        <v>3</v>
      </c>
      <c r="F25" s="853">
        <v>6</v>
      </c>
      <c r="G25" s="853">
        <v>18</v>
      </c>
      <c r="H25" s="853">
        <v>27</v>
      </c>
      <c r="I25" s="853">
        <v>18</v>
      </c>
      <c r="J25" s="853">
        <v>0</v>
      </c>
      <c r="K25" s="853">
        <v>0</v>
      </c>
      <c r="L25" s="853">
        <v>0</v>
      </c>
      <c r="M25" s="853">
        <v>0</v>
      </c>
      <c r="N25" s="853">
        <v>0</v>
      </c>
      <c r="O25" s="853">
        <v>0</v>
      </c>
      <c r="P25" s="853">
        <v>0</v>
      </c>
      <c r="Q25" s="853">
        <v>0</v>
      </c>
      <c r="R25" s="853">
        <v>0</v>
      </c>
      <c r="S25" s="853">
        <v>0</v>
      </c>
      <c r="T25" s="853">
        <v>0</v>
      </c>
      <c r="U25" s="853">
        <v>0</v>
      </c>
      <c r="V25" s="853">
        <v>0</v>
      </c>
      <c r="W25" s="853">
        <v>0</v>
      </c>
      <c r="X25" s="853">
        <v>0</v>
      </c>
      <c r="Y25" s="853">
        <v>0</v>
      </c>
      <c r="Z25" s="853">
        <v>0</v>
      </c>
      <c r="AA25" s="853">
        <v>0</v>
      </c>
      <c r="AB25" s="853">
        <v>0</v>
      </c>
      <c r="AC25" s="853">
        <v>0</v>
      </c>
      <c r="AD25" s="853">
        <v>0</v>
      </c>
      <c r="AE25" s="853">
        <v>0</v>
      </c>
      <c r="AF25" s="853">
        <v>0</v>
      </c>
      <c r="AG25" s="853">
        <v>0</v>
      </c>
      <c r="AH25" s="853">
        <v>0</v>
      </c>
      <c r="AI25" s="853">
        <v>0</v>
      </c>
      <c r="AJ25" s="853">
        <v>0</v>
      </c>
      <c r="AK25" s="853">
        <v>0</v>
      </c>
      <c r="AL25" s="853">
        <v>0</v>
      </c>
      <c r="AM25" s="853">
        <v>0</v>
      </c>
      <c r="AN25" s="853">
        <v>0</v>
      </c>
      <c r="AO25" s="853">
        <v>0</v>
      </c>
      <c r="AP25" s="853">
        <v>0</v>
      </c>
      <c r="AQ25" s="853">
        <v>0</v>
      </c>
      <c r="AR25" s="853">
        <v>0</v>
      </c>
      <c r="AS25" s="853">
        <v>0</v>
      </c>
      <c r="AT25" s="853">
        <v>0</v>
      </c>
      <c r="AU25" s="853">
        <v>0</v>
      </c>
      <c r="AV25" s="853">
        <v>0</v>
      </c>
      <c r="AW25" s="853">
        <v>0</v>
      </c>
      <c r="AX25" s="853">
        <v>0</v>
      </c>
      <c r="AY25" s="853">
        <v>0</v>
      </c>
      <c r="AZ25" s="853">
        <v>0</v>
      </c>
      <c r="BA25" s="853">
        <v>0</v>
      </c>
      <c r="BB25" s="853">
        <v>0</v>
      </c>
      <c r="BC25" s="853">
        <v>0</v>
      </c>
      <c r="BD25" s="853">
        <v>0</v>
      </c>
      <c r="BE25" s="853">
        <v>0</v>
      </c>
      <c r="BF25" s="853">
        <v>0</v>
      </c>
      <c r="BG25" s="853">
        <v>0</v>
      </c>
      <c r="BH25" s="853">
        <v>0</v>
      </c>
      <c r="BI25" s="853">
        <v>0</v>
      </c>
      <c r="BJ25" s="853">
        <v>0</v>
      </c>
      <c r="BK25" s="853">
        <v>0</v>
      </c>
      <c r="BL25" s="853">
        <v>0</v>
      </c>
      <c r="BM25" s="853">
        <v>0</v>
      </c>
      <c r="BN25" s="853">
        <v>0</v>
      </c>
      <c r="BO25" s="853">
        <v>0</v>
      </c>
      <c r="BP25" s="853">
        <v>0</v>
      </c>
      <c r="BQ25" s="853">
        <v>0</v>
      </c>
      <c r="BR25" s="853">
        <v>0</v>
      </c>
      <c r="BS25" s="853">
        <v>0</v>
      </c>
      <c r="BT25" s="853">
        <v>0</v>
      </c>
      <c r="BU25" s="853">
        <v>0</v>
      </c>
      <c r="BV25" s="853">
        <v>0</v>
      </c>
      <c r="BW25" s="853">
        <v>0</v>
      </c>
      <c r="BX25" s="853">
        <v>0</v>
      </c>
      <c r="BY25" s="853">
        <v>0</v>
      </c>
      <c r="BZ25" s="853">
        <v>0</v>
      </c>
      <c r="CA25" s="853">
        <v>0</v>
      </c>
      <c r="CB25" s="853">
        <v>0</v>
      </c>
      <c r="CC25" s="853">
        <v>0</v>
      </c>
      <c r="CD25" s="853">
        <v>0</v>
      </c>
      <c r="CE25" s="853">
        <v>0</v>
      </c>
      <c r="CF25" s="853">
        <v>0</v>
      </c>
      <c r="CG25" s="853">
        <v>0</v>
      </c>
      <c r="CH25" s="853">
        <v>0</v>
      </c>
      <c r="CI25" s="853">
        <v>0</v>
      </c>
      <c r="CJ25" s="853">
        <v>0</v>
      </c>
      <c r="CK25" s="853">
        <v>0</v>
      </c>
      <c r="CL25" s="853">
        <v>0</v>
      </c>
      <c r="CM25" s="853">
        <v>0</v>
      </c>
      <c r="CN25" s="853">
        <v>0</v>
      </c>
      <c r="CO25" s="853">
        <v>0</v>
      </c>
      <c r="CP25" s="853">
        <v>0</v>
      </c>
      <c r="CQ25" s="853">
        <v>0</v>
      </c>
      <c r="CR25" s="853">
        <v>0</v>
      </c>
      <c r="CS25" s="853">
        <v>0</v>
      </c>
      <c r="CT25" s="853">
        <v>0</v>
      </c>
      <c r="CU25" s="853">
        <v>0</v>
      </c>
      <c r="CV25" s="853">
        <v>0</v>
      </c>
      <c r="CW25" s="853">
        <v>0</v>
      </c>
      <c r="CX25" s="853">
        <v>0</v>
      </c>
      <c r="CY25" s="853">
        <v>0</v>
      </c>
      <c r="CZ25" s="853">
        <v>0</v>
      </c>
      <c r="DA25" s="853">
        <v>0</v>
      </c>
      <c r="DB25" s="853">
        <v>0</v>
      </c>
      <c r="DC25" s="853">
        <v>0</v>
      </c>
      <c r="DD25" s="853">
        <v>0</v>
      </c>
      <c r="DE25" s="853">
        <v>0</v>
      </c>
      <c r="DF25" s="853">
        <v>0</v>
      </c>
      <c r="DG25" s="853">
        <v>0</v>
      </c>
      <c r="DH25" s="853">
        <v>0</v>
      </c>
      <c r="DI25" s="853">
        <v>0</v>
      </c>
      <c r="DJ25" s="853">
        <v>0</v>
      </c>
      <c r="DK25" s="853">
        <v>0</v>
      </c>
      <c r="DL25" s="853">
        <v>0</v>
      </c>
      <c r="DM25" s="853">
        <v>0</v>
      </c>
      <c r="DN25" s="853">
        <v>0</v>
      </c>
      <c r="DO25" s="853">
        <v>0</v>
      </c>
      <c r="DP25" s="853">
        <v>0</v>
      </c>
      <c r="DQ25" s="853">
        <v>0</v>
      </c>
      <c r="DR25" s="853">
        <v>0</v>
      </c>
      <c r="DS25" s="853">
        <v>0</v>
      </c>
      <c r="DT25" s="853">
        <v>0</v>
      </c>
      <c r="DU25" s="853">
        <v>0</v>
      </c>
      <c r="DV25" s="853">
        <v>0</v>
      </c>
      <c r="DW25" s="853">
        <v>0</v>
      </c>
      <c r="DX25" s="853">
        <v>0</v>
      </c>
      <c r="DY25" s="853">
        <v>0</v>
      </c>
      <c r="DZ25" s="853">
        <v>0</v>
      </c>
      <c r="EA25" s="853">
        <v>0</v>
      </c>
      <c r="EB25" s="853">
        <v>0</v>
      </c>
      <c r="EC25" s="853">
        <v>0</v>
      </c>
      <c r="ED25" s="853">
        <v>0</v>
      </c>
      <c r="EE25" s="853">
        <v>0</v>
      </c>
      <c r="EF25" s="853">
        <v>0</v>
      </c>
      <c r="EG25" s="853">
        <v>0</v>
      </c>
      <c r="EH25" s="853">
        <v>0</v>
      </c>
      <c r="EI25" s="853">
        <v>0</v>
      </c>
      <c r="EJ25" s="853">
        <v>0</v>
      </c>
      <c r="EK25" s="853">
        <v>0</v>
      </c>
      <c r="EL25" s="853">
        <v>0</v>
      </c>
      <c r="EM25" s="853">
        <v>0</v>
      </c>
      <c r="EN25" s="853">
        <v>0</v>
      </c>
      <c r="EO25" s="853">
        <v>0</v>
      </c>
      <c r="EP25" s="853">
        <v>0</v>
      </c>
      <c r="EQ25" s="853">
        <v>0</v>
      </c>
      <c r="ER25" s="853">
        <v>0</v>
      </c>
      <c r="ES25" s="853">
        <v>0</v>
      </c>
      <c r="ET25" s="853">
        <v>0</v>
      </c>
      <c r="EU25" s="853">
        <v>0</v>
      </c>
      <c r="EV25" s="853">
        <v>0</v>
      </c>
      <c r="EW25" s="853">
        <v>0</v>
      </c>
      <c r="EX25" s="853">
        <v>0</v>
      </c>
      <c r="EY25" s="853">
        <v>0</v>
      </c>
      <c r="EZ25" s="853">
        <v>0</v>
      </c>
      <c r="FA25" s="853">
        <v>0</v>
      </c>
      <c r="FB25" s="853">
        <v>0</v>
      </c>
      <c r="FC25" s="853">
        <v>0</v>
      </c>
      <c r="FD25" s="853">
        <v>0</v>
      </c>
      <c r="FE25" s="853">
        <v>0</v>
      </c>
      <c r="FF25" s="853">
        <v>0</v>
      </c>
      <c r="FG25" s="853">
        <v>0</v>
      </c>
      <c r="FH25" s="853">
        <v>0</v>
      </c>
      <c r="FI25" s="853">
        <v>0</v>
      </c>
      <c r="FJ25" s="853">
        <v>0</v>
      </c>
      <c r="FK25" s="853">
        <v>0</v>
      </c>
      <c r="FL25" s="853">
        <v>0</v>
      </c>
      <c r="FM25" s="853">
        <v>0</v>
      </c>
      <c r="FN25" s="853">
        <v>0</v>
      </c>
      <c r="FO25" s="853">
        <v>0</v>
      </c>
      <c r="FP25" s="853">
        <v>0</v>
      </c>
      <c r="FQ25" s="853">
        <v>0</v>
      </c>
      <c r="FR25" s="853">
        <v>0</v>
      </c>
      <c r="FS25" s="853">
        <v>0</v>
      </c>
      <c r="FT25" s="853">
        <v>0</v>
      </c>
      <c r="FU25" s="853">
        <v>0</v>
      </c>
      <c r="FV25" s="853">
        <v>0</v>
      </c>
      <c r="FW25" s="853">
        <v>0</v>
      </c>
      <c r="FX25" s="853">
        <v>8</v>
      </c>
      <c r="FY25" s="853">
        <v>8</v>
      </c>
      <c r="FZ25" s="853">
        <v>8</v>
      </c>
      <c r="GA25" s="853">
        <v>8</v>
      </c>
      <c r="GB25" s="853">
        <v>8</v>
      </c>
      <c r="GC25" s="853">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6" hidden="1" customWidth="1"/>
    <col min="2" max="2" width="9.140625" style="1559" hidden="1" customWidth="1"/>
    <col min="3" max="3" width="4" style="617" customWidth="1"/>
    <col min="4" max="4" width="6" style="1559" customWidth="1"/>
    <col min="5" max="5" width="36" style="1559" customWidth="1"/>
    <col min="6" max="6" width="9" style="1559" customWidth="1"/>
    <col min="7" max="7" width="42.42578125" style="1559" hidden="1" customWidth="1"/>
    <col min="8" max="8" width="40.7109375" style="1559" customWidth="1"/>
    <col min="9" max="9" width="93" style="1290" customWidth="1"/>
    <col min="10" max="17" width="10" style="1559" customWidth="1"/>
    <col min="18" max="18" width="10" style="609" customWidth="1"/>
    <col min="19" max="19" width="10.5703125" style="1559" hidden="1"/>
  </cols>
  <sheetData>
    <row r="1" spans="1:19" s="1290" customFormat="1" ht="15" hidden="1" customHeight="1">
      <c r="C1" s="606"/>
      <c r="H1" s="351">
        <v>4</v>
      </c>
      <c r="R1" s="354"/>
      <c r="S1" s="351" t="s">
        <v>1</v>
      </c>
    </row>
    <row r="2" spans="1:19" ht="22.5" hidden="1" customHeight="1">
      <c r="C2" s="1820" t="s">
        <v>90</v>
      </c>
      <c r="D2" s="473"/>
      <c r="E2" s="597"/>
      <c r="F2" s="1657" t="str">
        <f>IF(TEMPLATE_SPHERE="HEAT","Гкал/час","тыс. куб. м/сутки")</f>
        <v>Гкал/час</v>
      </c>
      <c r="G2" s="614"/>
      <c r="H2" s="614"/>
      <c r="I2" s="224"/>
      <c r="S2" s="439">
        <v>0</v>
      </c>
    </row>
    <row r="3" spans="1:19" s="1290" customFormat="1" ht="15" hidden="1" customHeight="1">
      <c r="C3" s="606"/>
      <c r="R3" s="354"/>
      <c r="S3" s="351">
        <v>0</v>
      </c>
    </row>
    <row r="4" spans="1:19" ht="15.75" customHeight="1">
      <c r="C4" s="111"/>
      <c r="D4" s="443"/>
      <c r="E4" s="443"/>
      <c r="F4" s="443"/>
      <c r="G4" s="443"/>
      <c r="H4" s="443"/>
      <c r="S4" s="439">
        <v>15</v>
      </c>
    </row>
    <row r="5" spans="1:19" ht="39.75" customHeight="1">
      <c r="C5" s="111"/>
      <c r="D5" s="401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4014"/>
      <c r="F5" s="4014"/>
      <c r="G5" s="4014"/>
      <c r="H5" s="4014"/>
      <c r="I5" s="471"/>
      <c r="S5" s="439">
        <v>38</v>
      </c>
    </row>
    <row r="6" spans="1:19" ht="15.75" customHeight="1">
      <c r="C6" s="111"/>
      <c r="D6" s="3987" t="str">
        <f>IF(org=0,"Не определено",org)</f>
        <v>ООО "Смоленскрегионтеплоэнерго"</v>
      </c>
      <c r="E6" s="3987"/>
      <c r="F6" s="3987"/>
      <c r="G6" s="3987"/>
      <c r="H6" s="3987"/>
      <c r="I6" s="471"/>
      <c r="S6" s="439">
        <v>15</v>
      </c>
    </row>
    <row r="7" spans="1:19" s="1559" customFormat="1" ht="15.75" customHeight="1">
      <c r="A7" s="691"/>
      <c r="C7" s="111"/>
      <c r="D7" s="610"/>
      <c r="E7" s="610"/>
      <c r="F7" s="610"/>
      <c r="G7" s="610"/>
      <c r="H7" s="686"/>
      <c r="I7" s="471"/>
      <c r="R7" s="609"/>
      <c r="S7" s="690">
        <v>15</v>
      </c>
    </row>
    <row r="8" spans="1:19" ht="1.1499999999999999" customHeight="1">
      <c r="C8" s="111"/>
      <c r="D8" s="443"/>
      <c r="E8" s="443"/>
      <c r="F8" s="443"/>
      <c r="G8" s="443"/>
      <c r="H8" s="471" t="s">
        <v>189</v>
      </c>
      <c r="S8" s="439">
        <v>1</v>
      </c>
    </row>
    <row r="9" spans="1:19" ht="15.75" customHeight="1">
      <c r="C9" s="111"/>
      <c r="D9" s="645"/>
      <c r="E9" s="4120" t="s">
        <v>180</v>
      </c>
      <c r="F9" s="4121"/>
      <c r="G9" s="744" t="str">
        <f>IF(G8="","",INDEX(DIFFERENTIATION_UNMERGE_VD,MATCH(G8,DIFFERENTIATION_ID_DIFF,0)))</f>
        <v/>
      </c>
      <c r="H9" s="744">
        <f>IF(H8="","",INDEX(DIFFERENTIATION_UNMERGE_VD,MATCH(H8,DIFFERENTIATION_ID_DIFF,0)))</f>
        <v>0</v>
      </c>
      <c r="I9" s="3889" t="s">
        <v>509</v>
      </c>
      <c r="S9" s="439">
        <v>15</v>
      </c>
    </row>
    <row r="10" spans="1:19" s="1559" customFormat="1" ht="15.75" customHeight="1">
      <c r="A10" s="691"/>
      <c r="C10" s="111"/>
      <c r="D10" s="645"/>
      <c r="E10" s="4120" t="s">
        <v>773</v>
      </c>
      <c r="F10" s="4121"/>
      <c r="G10" s="744" t="str">
        <f>IF(G8="","",INDEX(DIFFERENTIATION_UNMERGE_AREA,MATCH(G8,DIFFERENTIATION_ID_DIFF,0)))</f>
        <v/>
      </c>
      <c r="H10" s="744" t="str">
        <f>IF(H8="","",INDEX(DIFFERENTIATION_UNMERGE_AREA,MATCH(H8,DIFFERENTIATION_ID_DIFF,0)))</f>
        <v/>
      </c>
      <c r="I10" s="3889"/>
      <c r="R10" s="609"/>
      <c r="S10" s="690">
        <v>15</v>
      </c>
    </row>
    <row r="11" spans="1:19" s="1559" customFormat="1" ht="15.75" customHeight="1">
      <c r="A11" s="691"/>
      <c r="C11" s="111"/>
      <c r="D11" s="645"/>
      <c r="E11" s="4120" t="s">
        <v>774</v>
      </c>
      <c r="F11" s="4121"/>
      <c r="G11" s="744" t="str">
        <f>IF(G8="","",INDEX(DIFFERENTIATION_UNMERGE_SYSTEM,MATCH(G8,DIFFERENTIATION_ID_DIFF,0)))</f>
        <v/>
      </c>
      <c r="H11" s="744" t="str">
        <f>IF(H8="","",INDEX(DIFFERENTIATION_UNMERGE_SYSTEM,MATCH(H8,DIFFERENTIATION_ID_DIFF,0)))</f>
        <v>без дифференциации</v>
      </c>
      <c r="I11" s="3889"/>
      <c r="R11" s="609"/>
      <c r="S11" s="690">
        <v>15</v>
      </c>
    </row>
    <row r="12" spans="1:19" s="1559" customFormat="1" ht="15.75" customHeight="1">
      <c r="A12" s="691"/>
      <c r="C12" s="111"/>
      <c r="D12" s="4122" t="s">
        <v>508</v>
      </c>
      <c r="E12" s="4123"/>
      <c r="F12" s="4123"/>
      <c r="G12" s="814"/>
      <c r="H12" s="814"/>
      <c r="I12" s="3889"/>
      <c r="R12" s="609"/>
      <c r="S12" s="690">
        <v>15</v>
      </c>
    </row>
    <row r="13" spans="1:19" ht="35.65" customHeight="1">
      <c r="C13" s="111"/>
      <c r="D13" s="693" t="s">
        <v>75</v>
      </c>
      <c r="E13" s="692" t="s">
        <v>510</v>
      </c>
      <c r="F13" s="692" t="s">
        <v>775</v>
      </c>
      <c r="G13" s="736" t="s">
        <v>511</v>
      </c>
      <c r="H13" s="688" t="s">
        <v>511</v>
      </c>
      <c r="I13" s="3889"/>
      <c r="S13" s="439">
        <v>34</v>
      </c>
    </row>
    <row r="14" spans="1:19" ht="15" hidden="1" customHeight="1">
      <c r="C14" s="111"/>
      <c r="D14" s="527" t="s">
        <v>184</v>
      </c>
      <c r="E14" s="527" t="s">
        <v>89</v>
      </c>
      <c r="F14" s="527" t="s">
        <v>77</v>
      </c>
      <c r="G14" s="593" t="str">
        <f>G1&amp;".1"</f>
        <v>.1</v>
      </c>
      <c r="H14" s="593" t="str">
        <f>H1&amp;".1"</f>
        <v>4.1</v>
      </c>
      <c r="I14" s="224"/>
      <c r="S14" s="439">
        <v>0</v>
      </c>
    </row>
    <row r="15" spans="1:19" ht="15.75" customHeight="1">
      <c r="A15" s="439"/>
      <c r="C15" s="460"/>
      <c r="D15" s="455">
        <v>1</v>
      </c>
      <c r="E15" s="1822" t="str">
        <f>TP_P_A</f>
        <v>Количество поданных заявок</v>
      </c>
      <c r="F15" s="455" t="s">
        <v>1323</v>
      </c>
      <c r="G15" s="619"/>
      <c r="H15" s="619"/>
      <c r="I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22" t="str">
        <f>TP_P_B</f>
        <v>Количество рассмотренных заявок</v>
      </c>
      <c r="F16" s="455" t="s">
        <v>1323</v>
      </c>
      <c r="G16" s="619"/>
      <c r="H16" s="619"/>
      <c r="I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2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1323</v>
      </c>
      <c r="G17" s="619"/>
      <c r="H17" s="619"/>
      <c r="I17" s="143"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22" t="str">
        <f>TP_P_V_1</f>
        <v>Причины отказа в заключении договора о подключении (технологическом присоединении) к системе теплоснабжения</v>
      </c>
      <c r="F18" s="455" t="s">
        <v>514</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22"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1324</v>
      </c>
      <c r="E20" s="622"/>
      <c r="F20" s="443"/>
      <c r="G20" s="443"/>
      <c r="H20" s="443"/>
      <c r="I20" s="1659"/>
      <c r="S20" s="439">
        <v>0</v>
      </c>
    </row>
    <row r="21" spans="1:19" ht="29.25" customHeight="1">
      <c r="C21" s="385"/>
      <c r="D21" s="473" t="s">
        <v>521</v>
      </c>
      <c r="E21" s="604"/>
      <c r="F21" s="1657" t="str">
        <f>IF(TEMPLATE_SPHERE="HEAT","Гкал/час","тыс. куб. м/сутки")</f>
        <v>Гкал/час</v>
      </c>
      <c r="G21" s="614"/>
      <c r="H21" s="614"/>
      <c r="I21" s="393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1325</v>
      </c>
      <c r="F22" s="506"/>
      <c r="G22" s="506"/>
      <c r="H22" s="506"/>
      <c r="I22" s="3937"/>
      <c r="R22" s="439"/>
      <c r="S22" s="439">
        <v>15</v>
      </c>
    </row>
    <row r="23" spans="1:19" ht="22.5" hidden="1" customHeight="1">
      <c r="A23" s="383" t="s">
        <v>69</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975" hidden="1" customWidth="1"/>
    <col min="2" max="2" width="9.140625" style="1290" hidden="1" customWidth="1"/>
    <col min="3" max="3" width="3" style="279" customWidth="1"/>
    <col min="4" max="4" width="6" style="1559" customWidth="1"/>
    <col min="5" max="6" width="64" style="1559" customWidth="1"/>
    <col min="7" max="7" width="140" style="1559" customWidth="1"/>
    <col min="8" max="8" width="10" style="1559" customWidth="1"/>
    <col min="9" max="10" width="10" style="1548" customWidth="1"/>
    <col min="11" max="16" width="10" style="1559" customWidth="1"/>
    <col min="17" max="17" width="10.5703125" style="1559" hidden="1"/>
  </cols>
  <sheetData>
    <row r="1" spans="1:17" ht="22.5" hidden="1" customHeight="1">
      <c r="M1" s="190"/>
      <c r="N1" s="190"/>
      <c r="P1" s="190"/>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94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945"/>
      <c r="F5" s="3945"/>
      <c r="G5" s="3946"/>
      <c r="Q5" s="22">
        <v>28</v>
      </c>
    </row>
    <row r="6" spans="1:17" s="1559" customFormat="1" ht="18.75" customHeight="1">
      <c r="A6" s="809"/>
      <c r="B6" s="351"/>
      <c r="C6" s="310"/>
      <c r="D6" s="4009" t="str">
        <f>IF(org=0,"Не определено",org)</f>
        <v>ООО "Смоленскрегионтеплоэнерго"</v>
      </c>
      <c r="E6" s="4010"/>
      <c r="F6" s="4010"/>
      <c r="G6" s="4011"/>
      <c r="I6" s="434"/>
      <c r="J6" s="434"/>
      <c r="Q6" s="690">
        <v>18</v>
      </c>
    </row>
    <row r="7" spans="1:17" ht="14.65" customHeight="1">
      <c r="C7" s="35"/>
      <c r="D7" s="23"/>
      <c r="E7" s="34"/>
      <c r="F7" s="686"/>
      <c r="G7" s="128"/>
      <c r="Q7" s="22">
        <v>14</v>
      </c>
    </row>
    <row r="8" spans="1:17" s="1559" customFormat="1" ht="1.1499999999999999" customHeight="1">
      <c r="A8" s="1593"/>
      <c r="B8" s="1084"/>
      <c r="C8" s="310"/>
      <c r="D8" s="297"/>
      <c r="E8" s="323"/>
      <c r="F8" s="686"/>
      <c r="G8" s="128"/>
      <c r="I8" s="1548"/>
      <c r="J8" s="1548"/>
      <c r="Q8" s="1555">
        <v>1</v>
      </c>
    </row>
    <row r="9" spans="1:17" ht="14.65" customHeight="1">
      <c r="C9" s="35"/>
      <c r="D9" s="3995" t="s">
        <v>508</v>
      </c>
      <c r="E9" s="3995"/>
      <c r="F9" s="3995"/>
      <c r="G9" s="4137" t="s">
        <v>509</v>
      </c>
      <c r="Q9" s="22">
        <v>14</v>
      </c>
    </row>
    <row r="10" spans="1:17" ht="24" customHeight="1">
      <c r="C10" s="35"/>
      <c r="D10" s="44" t="s">
        <v>75</v>
      </c>
      <c r="E10" s="46" t="s">
        <v>510</v>
      </c>
      <c r="F10" s="46" t="s">
        <v>598</v>
      </c>
      <c r="G10" s="4137"/>
      <c r="Q10" s="22">
        <v>23</v>
      </c>
    </row>
    <row r="11" spans="1:17" ht="12" hidden="1" customHeight="1">
      <c r="C11" s="35"/>
      <c r="D11" s="26"/>
      <c r="E11" s="26"/>
      <c r="F11" s="26"/>
      <c r="G11" s="26"/>
      <c r="Q11" s="22">
        <v>0</v>
      </c>
    </row>
    <row r="12" spans="1:17" ht="65.25" customHeight="1">
      <c r="A12" s="127"/>
      <c r="C12" s="35"/>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514</v>
      </c>
      <c r="G12" s="86"/>
      <c r="Q12" s="22">
        <v>62</v>
      </c>
    </row>
    <row r="13" spans="1:17" ht="24" customHeight="1">
      <c r="A13" s="127"/>
      <c r="C13" s="35"/>
      <c r="D13" s="83" t="s">
        <v>1230</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514</v>
      </c>
      <c r="G13" s="86"/>
      <c r="Q13" s="22">
        <v>23</v>
      </c>
    </row>
    <row r="14" spans="1:17" ht="14.65" customHeight="1">
      <c r="A14" s="127"/>
      <c r="C14" s="35"/>
      <c r="D14" s="83" t="s">
        <v>1266</v>
      </c>
      <c r="E14" s="130"/>
      <c r="F14" s="148"/>
      <c r="G14" s="393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7"/>
      <c r="C15" s="35"/>
      <c r="D15" s="47"/>
      <c r="E15" s="283" t="s">
        <v>1326</v>
      </c>
      <c r="F15" s="136"/>
      <c r="G15" s="3937"/>
      <c r="Q15" s="22">
        <v>15</v>
      </c>
    </row>
    <row r="16" spans="1:17" ht="14.65" customHeight="1">
      <c r="A16" s="127"/>
      <c r="C16" s="35"/>
      <c r="D16" s="83" t="s">
        <v>1232</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514</v>
      </c>
      <c r="G16" s="272"/>
      <c r="Q16" s="22">
        <v>14</v>
      </c>
    </row>
    <row r="17" spans="1:17" ht="14.65" customHeight="1">
      <c r="A17" s="127"/>
      <c r="C17" s="35"/>
      <c r="D17" s="83" t="s">
        <v>1274</v>
      </c>
      <c r="E17" s="130"/>
      <c r="F17" s="319"/>
      <c r="G17" s="393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59" customFormat="1" ht="21.95" customHeight="1">
      <c r="A18" s="278"/>
      <c r="B18" s="82"/>
      <c r="C18" s="242"/>
      <c r="D18" s="282"/>
      <c r="E18" s="283" t="s">
        <v>1327</v>
      </c>
      <c r="F18" s="273"/>
      <c r="G18" s="3937"/>
      <c r="I18" s="284"/>
      <c r="J18" s="284"/>
      <c r="Q18" s="277">
        <v>21</v>
      </c>
    </row>
    <row r="19" spans="1:17" s="1559" customFormat="1" ht="256.5" hidden="1" customHeight="1">
      <c r="A19" s="278"/>
      <c r="B19" s="351"/>
      <c r="C19" s="310"/>
      <c r="D19" s="811" t="s">
        <v>1234</v>
      </c>
      <c r="E19" s="810" t="s">
        <v>1328</v>
      </c>
      <c r="F19" s="319"/>
      <c r="G19" s="272" t="s">
        <v>1329</v>
      </c>
      <c r="I19" s="434"/>
      <c r="J19" s="434"/>
      <c r="Q19" s="690">
        <v>0</v>
      </c>
    </row>
    <row r="20" spans="1:17" s="1559" customFormat="1" ht="14.65" customHeight="1">
      <c r="A20" s="278"/>
      <c r="B20" s="82"/>
      <c r="C20" s="242"/>
      <c r="D20" s="812">
        <v>2</v>
      </c>
      <c r="E20" s="265" t="s">
        <v>1330</v>
      </c>
      <c r="F20" s="133" t="s">
        <v>514</v>
      </c>
      <c r="G20" s="272"/>
      <c r="I20" s="284"/>
      <c r="J20" s="284"/>
      <c r="Q20" s="277">
        <v>14</v>
      </c>
    </row>
    <row r="21" spans="1:17" s="1559" customFormat="1" ht="18.75" hidden="1" customHeight="1">
      <c r="A21" s="278"/>
      <c r="B21" s="82"/>
      <c r="C21" s="242"/>
      <c r="D21" s="268" t="s">
        <v>845</v>
      </c>
      <c r="E21" s="267"/>
      <c r="F21" s="266"/>
      <c r="G21" s="276"/>
      <c r="H21" s="269"/>
      <c r="I21" s="284"/>
      <c r="J21" s="284"/>
      <c r="Q21" s="277">
        <v>0</v>
      </c>
    </row>
    <row r="22" spans="1:17" ht="15.75" customHeight="1">
      <c r="A22" s="127"/>
      <c r="C22" s="35"/>
      <c r="D22" s="47"/>
      <c r="E22" s="138" t="s">
        <v>530</v>
      </c>
      <c r="F22" s="273"/>
      <c r="G22" s="274"/>
      <c r="Q22" s="22">
        <v>15</v>
      </c>
    </row>
    <row r="23" spans="1:17" s="1559" customFormat="1" ht="22.5" hidden="1" customHeight="1">
      <c r="A23" s="278"/>
      <c r="B23" s="1084"/>
      <c r="C23" s="310"/>
      <c r="D23" s="1597" t="s">
        <v>89</v>
      </c>
      <c r="E23" s="132" t="s">
        <v>1331</v>
      </c>
      <c r="F23" s="1594" t="s">
        <v>514</v>
      </c>
      <c r="G23" s="280"/>
      <c r="I23" s="1548"/>
      <c r="J23" s="1548"/>
      <c r="Q23" s="1555">
        <v>0</v>
      </c>
    </row>
    <row r="24" spans="1:17" s="1559" customFormat="1" ht="14.25" hidden="1" customHeight="1">
      <c r="A24" s="278"/>
      <c r="B24" s="1084"/>
      <c r="C24" s="310"/>
      <c r="D24" s="1597" t="s">
        <v>917</v>
      </c>
      <c r="E24" s="1596" t="s">
        <v>1332</v>
      </c>
      <c r="F24" s="1594" t="s">
        <v>514</v>
      </c>
      <c r="G24" s="272"/>
      <c r="I24" s="1548"/>
      <c r="J24" s="1548"/>
      <c r="Q24" s="1555">
        <v>0</v>
      </c>
    </row>
    <row r="25" spans="1:17" s="1559" customFormat="1" ht="14.25" hidden="1" customHeight="1">
      <c r="A25" s="278"/>
      <c r="B25" s="1084"/>
      <c r="C25" s="310"/>
      <c r="D25" s="1597" t="s">
        <v>920</v>
      </c>
      <c r="E25" s="130"/>
      <c r="F25" s="319"/>
      <c r="G25" s="3935" t="s">
        <v>1333</v>
      </c>
      <c r="I25" s="1548"/>
      <c r="J25" s="1548"/>
      <c r="Q25" s="1555">
        <v>0</v>
      </c>
    </row>
    <row r="26" spans="1:17" s="1559" customFormat="1" ht="22.5" hidden="1" customHeight="1">
      <c r="A26" s="278"/>
      <c r="B26" s="1084"/>
      <c r="C26" s="310"/>
      <c r="D26" s="282"/>
      <c r="E26" s="283" t="s">
        <v>1334</v>
      </c>
      <c r="F26" s="273"/>
      <c r="G26" s="3937"/>
      <c r="I26" s="1548"/>
      <c r="J26" s="1548"/>
      <c r="Q26" s="1555">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6"/>
      <c r="Q29" s="22">
        <v>14</v>
      </c>
    </row>
    <row r="30" spans="1:17" ht="14.65" customHeight="1">
      <c r="Q30" s="22">
        <v>14</v>
      </c>
    </row>
    <row r="31" spans="1:17" ht="14.65" customHeight="1">
      <c r="E31" s="690"/>
      <c r="Q31" s="22">
        <v>14</v>
      </c>
    </row>
    <row r="32" spans="1:17" ht="22.5" hidden="1" customHeight="1">
      <c r="A32" s="40" t="s">
        <v>69</v>
      </c>
      <c r="B32" s="82">
        <v>0</v>
      </c>
      <c r="C32" s="36">
        <v>3</v>
      </c>
      <c r="D32" s="22">
        <v>6</v>
      </c>
      <c r="E32" s="22">
        <v>64</v>
      </c>
      <c r="F32" s="22">
        <v>64</v>
      </c>
      <c r="G32" s="22">
        <v>140</v>
      </c>
      <c r="H32" s="22">
        <v>10</v>
      </c>
      <c r="I32" s="90">
        <v>10</v>
      </c>
      <c r="J32" s="90">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2" hidden="1" customWidth="1"/>
    <col min="2" max="2" width="9.140625" style="1290" hidden="1" customWidth="1"/>
    <col min="3" max="3" width="3" style="279" customWidth="1"/>
    <col min="4" max="4" width="6" style="1559" customWidth="1"/>
    <col min="5" max="5" width="63" style="1559" customWidth="1"/>
    <col min="6" max="6" width="1.7109375" style="1559" hidden="1" customWidth="1"/>
    <col min="7" max="8" width="35" style="1559" customWidth="1"/>
    <col min="9" max="9" width="91" style="1559" customWidth="1"/>
    <col min="10" max="10" width="68" style="1559" customWidth="1"/>
    <col min="11" max="12" width="10" style="1548" customWidth="1"/>
    <col min="13" max="13" width="10.5703125" style="1559" hidden="1"/>
  </cols>
  <sheetData>
    <row r="1" spans="1:13" ht="22.5" hidden="1" customHeight="1">
      <c r="M1" s="22" t="s">
        <v>1</v>
      </c>
    </row>
    <row r="2" spans="1:13" s="1559" customFormat="1" ht="18.75" hidden="1" customHeight="1">
      <c r="A2" s="1607"/>
      <c r="B2" s="1084"/>
      <c r="C2" s="1626" t="s">
        <v>90</v>
      </c>
      <c r="D2" s="1597"/>
      <c r="E2" s="134"/>
      <c r="F2" s="1594"/>
      <c r="G2" s="1594" t="s">
        <v>514</v>
      </c>
      <c r="H2" s="1085"/>
      <c r="K2" s="1548"/>
      <c r="L2" s="1548"/>
      <c r="M2" s="1555">
        <v>0</v>
      </c>
    </row>
    <row r="3" spans="1:13" s="1559" customFormat="1" ht="14.25" hidden="1" customHeight="1">
      <c r="A3" s="1286"/>
      <c r="B3" s="1084"/>
      <c r="C3" s="279"/>
      <c r="K3" s="1548"/>
      <c r="L3" s="1548"/>
      <c r="M3" s="1555">
        <v>0</v>
      </c>
    </row>
    <row r="4" spans="1:13" s="1559" customFormat="1" ht="18.75" hidden="1" customHeight="1">
      <c r="A4" s="1607"/>
      <c r="B4" s="1084"/>
      <c r="C4" s="1626" t="s">
        <v>90</v>
      </c>
      <c r="D4" s="1597"/>
      <c r="E4" s="140" t="s">
        <v>1335</v>
      </c>
      <c r="F4" s="1594"/>
      <c r="G4" s="192"/>
      <c r="H4" s="1594" t="s">
        <v>514</v>
      </c>
      <c r="K4" s="1548"/>
      <c r="L4" s="1548"/>
      <c r="M4" s="1555">
        <v>0</v>
      </c>
    </row>
    <row r="5" spans="1:13" s="1559" customFormat="1" ht="14.25" hidden="1" customHeight="1">
      <c r="A5" s="1286"/>
      <c r="B5" s="1084"/>
      <c r="C5" s="279"/>
      <c r="K5" s="1548"/>
      <c r="L5" s="1548"/>
      <c r="M5" s="1555">
        <v>0</v>
      </c>
    </row>
    <row r="6" spans="1:13" s="1559" customFormat="1" ht="18.75" hidden="1" customHeight="1">
      <c r="A6" s="1607"/>
      <c r="B6" s="1084"/>
      <c r="C6" s="1626" t="s">
        <v>90</v>
      </c>
      <c r="D6" s="1597"/>
      <c r="E6" s="141" t="s">
        <v>1336</v>
      </c>
      <c r="F6" s="1594"/>
      <c r="G6" s="192"/>
      <c r="H6" s="1594" t="s">
        <v>514</v>
      </c>
      <c r="K6" s="1548"/>
      <c r="L6" s="1548"/>
      <c r="M6" s="1555">
        <v>0</v>
      </c>
    </row>
    <row r="7" spans="1:13" s="1559" customFormat="1" ht="14.25" hidden="1" customHeight="1">
      <c r="A7" s="1286"/>
      <c r="B7" s="1084"/>
      <c r="C7" s="279"/>
      <c r="K7" s="1548"/>
      <c r="L7" s="1548"/>
      <c r="M7" s="1555">
        <v>0</v>
      </c>
    </row>
    <row r="8" spans="1:13" s="1559" customFormat="1" ht="18.75" hidden="1" customHeight="1">
      <c r="A8" s="1607"/>
      <c r="B8" s="1084"/>
      <c r="C8" s="1626" t="s">
        <v>90</v>
      </c>
      <c r="D8" s="1597"/>
      <c r="E8" s="141" t="s">
        <v>1337</v>
      </c>
      <c r="F8" s="1594"/>
      <c r="G8" s="192"/>
      <c r="H8" s="1594" t="s">
        <v>514</v>
      </c>
      <c r="K8" s="1548"/>
      <c r="L8" s="1548"/>
      <c r="M8" s="1555">
        <v>0</v>
      </c>
    </row>
    <row r="9" spans="1:13" s="1559" customFormat="1" ht="14.25" hidden="1" customHeight="1">
      <c r="A9" s="1286"/>
      <c r="B9" s="1084"/>
      <c r="C9" s="279"/>
      <c r="K9" s="1548"/>
      <c r="L9" s="1548"/>
      <c r="M9" s="1555">
        <v>0</v>
      </c>
    </row>
    <row r="10" spans="1:13" s="1559" customFormat="1" ht="18.75" hidden="1" customHeight="1">
      <c r="A10" s="1607"/>
      <c r="B10" s="1084"/>
      <c r="C10" s="1626" t="s">
        <v>90</v>
      </c>
      <c r="D10" s="1597"/>
      <c r="E10" s="141" t="s">
        <v>1338</v>
      </c>
      <c r="F10" s="1594"/>
      <c r="G10" s="1598"/>
      <c r="H10" s="1594" t="s">
        <v>514</v>
      </c>
      <c r="K10" s="1548"/>
      <c r="L10" s="1548" t="s">
        <v>1339</v>
      </c>
      <c r="M10" s="1555">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94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945"/>
      <c r="F14" s="3945"/>
      <c r="G14" s="3945"/>
      <c r="H14" s="3946"/>
      <c r="J14" s="1555"/>
      <c r="M14" s="22">
        <v>28</v>
      </c>
    </row>
    <row r="15" spans="1:13" s="1559" customFormat="1" ht="14.65" customHeight="1">
      <c r="A15" s="1286"/>
      <c r="B15" s="1084"/>
      <c r="C15" s="310"/>
      <c r="D15" s="4009" t="str">
        <f>IF(org=0,"Не определено",org)</f>
        <v>ООО "Смоленскрегионтеплоэнерго"</v>
      </c>
      <c r="E15" s="4010"/>
      <c r="F15" s="4010"/>
      <c r="G15" s="4010"/>
      <c r="H15" s="4011"/>
      <c r="J15" s="780"/>
      <c r="K15" s="1548"/>
      <c r="L15" s="1548"/>
      <c r="M15" s="1555">
        <v>14</v>
      </c>
    </row>
    <row r="16" spans="1:13" ht="14.65" customHeight="1">
      <c r="C16" s="35"/>
      <c r="D16" s="23"/>
      <c r="E16" s="34"/>
      <c r="F16" s="34"/>
      <c r="G16" s="34"/>
      <c r="H16" s="686"/>
      <c r="I16" s="128"/>
      <c r="M16" s="22">
        <v>14</v>
      </c>
    </row>
    <row r="17" spans="1:13" s="1559" customFormat="1" ht="14.25" hidden="1" customHeight="1">
      <c r="A17" s="1286"/>
      <c r="B17" s="1084"/>
      <c r="C17" s="310"/>
      <c r="D17" s="297"/>
      <c r="E17" s="323"/>
      <c r="F17" s="323"/>
      <c r="G17" s="323"/>
      <c r="H17" s="686"/>
      <c r="I17" s="128"/>
      <c r="K17" s="1548"/>
      <c r="L17" s="1548"/>
      <c r="M17" s="1555">
        <v>0</v>
      </c>
    </row>
    <row r="18" spans="1:13" ht="21.95" customHeight="1">
      <c r="C18" s="35"/>
      <c r="D18" s="3995" t="s">
        <v>508</v>
      </c>
      <c r="E18" s="3995"/>
      <c r="F18" s="3995"/>
      <c r="G18" s="3995"/>
      <c r="H18" s="3995"/>
      <c r="I18" s="4137" t="s">
        <v>509</v>
      </c>
      <c r="M18" s="22">
        <v>21</v>
      </c>
    </row>
    <row r="19" spans="1:13" ht="21.95" customHeight="1">
      <c r="C19" s="35"/>
      <c r="D19" s="44" t="s">
        <v>75</v>
      </c>
      <c r="E19" s="46" t="s">
        <v>510</v>
      </c>
      <c r="F19" s="46"/>
      <c r="G19" s="46" t="s">
        <v>511</v>
      </c>
      <c r="H19" s="46" t="s">
        <v>598</v>
      </c>
      <c r="I19" s="4137"/>
      <c r="M19" s="22">
        <v>21</v>
      </c>
    </row>
    <row r="20" spans="1:13" ht="12" hidden="1" customHeight="1">
      <c r="C20" s="35"/>
      <c r="D20" s="26"/>
      <c r="E20" s="26"/>
      <c r="F20" s="26"/>
      <c r="G20" s="26"/>
      <c r="H20" s="26"/>
      <c r="I20" s="26"/>
      <c r="M20" s="22">
        <v>0</v>
      </c>
    </row>
    <row r="21" spans="1:13" ht="14.65" customHeight="1">
      <c r="A21" s="1607"/>
      <c r="C21" s="35"/>
      <c r="D21" s="83">
        <v>1</v>
      </c>
      <c r="E21" s="4188" t="s">
        <v>1340</v>
      </c>
      <c r="F21" s="4188"/>
      <c r="G21" s="4188"/>
      <c r="H21" s="4188"/>
      <c r="I21" s="143"/>
      <c r="M21" s="22">
        <v>14</v>
      </c>
    </row>
    <row r="22" spans="1:13" ht="21" customHeight="1">
      <c r="A22" s="1607"/>
      <c r="C22" s="35"/>
      <c r="D22" s="83" t="s">
        <v>1230</v>
      </c>
      <c r="E22" s="129" t="s">
        <v>1341</v>
      </c>
      <c r="F22" s="133"/>
      <c r="G22" s="1633"/>
      <c r="H22" s="133" t="s">
        <v>514</v>
      </c>
      <c r="I22" s="86" t="s">
        <v>1342</v>
      </c>
      <c r="M22" s="22">
        <v>20</v>
      </c>
    </row>
    <row r="23" spans="1:13" ht="60" customHeight="1">
      <c r="A23" s="1607"/>
      <c r="C23" s="35"/>
      <c r="D23" s="83" t="s">
        <v>1232</v>
      </c>
      <c r="E23" s="129" t="s">
        <v>1343</v>
      </c>
      <c r="F23" s="133"/>
      <c r="G23" s="192"/>
      <c r="H23" s="148"/>
      <c r="I23" s="193" t="s">
        <v>1344</v>
      </c>
      <c r="M23" s="22">
        <v>57</v>
      </c>
    </row>
    <row r="24" spans="1:13" ht="14.65" customHeight="1">
      <c r="A24" s="1607"/>
      <c r="B24" s="82">
        <v>3</v>
      </c>
      <c r="C24" s="35"/>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514</v>
      </c>
      <c r="H24" s="148"/>
      <c r="I24" s="194" t="s">
        <v>840</v>
      </c>
      <c r="M24" s="22">
        <v>14</v>
      </c>
    </row>
    <row r="25" spans="1:13" ht="48.2" customHeight="1">
      <c r="A25" s="1607"/>
      <c r="C25" s="35"/>
      <c r="D25" s="83">
        <v>3</v>
      </c>
      <c r="E25" s="418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4188"/>
      <c r="G25" s="4188"/>
      <c r="H25" s="4188"/>
      <c r="I25" s="191"/>
      <c r="M25" s="22">
        <v>46</v>
      </c>
    </row>
    <row r="26" spans="1:13" ht="14.65" customHeight="1">
      <c r="A26" s="1607"/>
      <c r="C26" s="35"/>
      <c r="D26" s="83" t="s">
        <v>532</v>
      </c>
      <c r="E26" s="134"/>
      <c r="F26" s="133"/>
      <c r="G26" s="133" t="s">
        <v>514</v>
      </c>
      <c r="H26" s="148"/>
      <c r="I26" s="3935" t="s">
        <v>1345</v>
      </c>
      <c r="M26" s="22">
        <v>14</v>
      </c>
    </row>
    <row r="27" spans="1:13" ht="15.75" customHeight="1">
      <c r="A27" s="1607" t="s">
        <v>184</v>
      </c>
      <c r="C27" s="35"/>
      <c r="D27" s="47"/>
      <c r="E27" s="138" t="s">
        <v>530</v>
      </c>
      <c r="F27" s="139"/>
      <c r="G27" s="139"/>
      <c r="H27" s="136"/>
      <c r="I27" s="3937"/>
      <c r="M27" s="22">
        <v>15</v>
      </c>
    </row>
    <row r="28" spans="1:13" ht="39.75" customHeight="1">
      <c r="A28" s="1607"/>
      <c r="B28" s="82">
        <v>3</v>
      </c>
      <c r="C28" s="35"/>
      <c r="D28" s="83">
        <v>4</v>
      </c>
      <c r="E28" s="418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4188"/>
      <c r="G28" s="4188"/>
      <c r="H28" s="4188"/>
      <c r="I28" s="191"/>
      <c r="M28" s="22">
        <v>38</v>
      </c>
    </row>
    <row r="29" spans="1:13" ht="21" customHeight="1">
      <c r="A29" s="1607"/>
      <c r="C29" s="35"/>
      <c r="D29" s="83" t="s">
        <v>962</v>
      </c>
      <c r="E29" s="140" t="s">
        <v>1335</v>
      </c>
      <c r="F29" s="133"/>
      <c r="G29" s="192"/>
      <c r="H29" s="133" t="s">
        <v>514</v>
      </c>
      <c r="I29" s="3935" t="s">
        <v>1346</v>
      </c>
      <c r="M29" s="22">
        <v>20</v>
      </c>
    </row>
    <row r="30" spans="1:13" ht="15.75" customHeight="1">
      <c r="A30" s="1607" t="s">
        <v>89</v>
      </c>
      <c r="C30" s="35"/>
      <c r="D30" s="47"/>
      <c r="E30" s="138" t="s">
        <v>530</v>
      </c>
      <c r="F30" s="139"/>
      <c r="G30" s="139"/>
      <c r="H30" s="136"/>
      <c r="I30" s="3937"/>
      <c r="M30" s="22">
        <v>15</v>
      </c>
    </row>
    <row r="31" spans="1:13" ht="31.5" customHeight="1">
      <c r="A31" s="1607"/>
      <c r="B31" s="82">
        <v>3</v>
      </c>
      <c r="C31" s="35"/>
      <c r="D31" s="83">
        <v>5</v>
      </c>
      <c r="E31" s="418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4188"/>
      <c r="G31" s="4188"/>
      <c r="H31" s="4188"/>
      <c r="I31" s="191"/>
      <c r="M31" s="22">
        <v>30</v>
      </c>
    </row>
    <row r="32" spans="1:13" ht="27.4" customHeight="1">
      <c r="A32" s="1607"/>
      <c r="C32" s="35"/>
      <c r="D32" s="83" t="s">
        <v>521</v>
      </c>
      <c r="E32" s="415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4151"/>
      <c r="G32" s="4151"/>
      <c r="H32" s="4151"/>
      <c r="I32" s="191"/>
      <c r="M32" s="22">
        <v>26</v>
      </c>
    </row>
    <row r="33" spans="1:13" ht="14.65" customHeight="1">
      <c r="A33" s="1607"/>
      <c r="C33" s="35"/>
      <c r="D33" s="83" t="s">
        <v>1347</v>
      </c>
      <c r="E33" s="141" t="s">
        <v>1336</v>
      </c>
      <c r="F33" s="133"/>
      <c r="G33" s="192"/>
      <c r="H33" s="133" t="s">
        <v>514</v>
      </c>
      <c r="I33" s="3935" t="s">
        <v>1348</v>
      </c>
      <c r="M33" s="22">
        <v>14</v>
      </c>
    </row>
    <row r="34" spans="1:13" ht="15.75" customHeight="1">
      <c r="A34" s="1607" t="s">
        <v>77</v>
      </c>
      <c r="C34" s="35"/>
      <c r="D34" s="47"/>
      <c r="E34" s="139" t="s">
        <v>530</v>
      </c>
      <c r="F34" s="135"/>
      <c r="G34" s="135"/>
      <c r="H34" s="136"/>
      <c r="I34" s="3937"/>
      <c r="M34" s="22">
        <v>15</v>
      </c>
    </row>
    <row r="35" spans="1:13" ht="25.15" customHeight="1">
      <c r="A35" s="1607"/>
      <c r="C35" s="35"/>
      <c r="D35" s="83" t="s">
        <v>1090</v>
      </c>
      <c r="E35" s="415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4151"/>
      <c r="G35" s="4151"/>
      <c r="H35" s="4151"/>
      <c r="I35" s="191"/>
      <c r="M35" s="22">
        <v>24</v>
      </c>
    </row>
    <row r="36" spans="1:13" ht="14.65" customHeight="1">
      <c r="A36" s="1607"/>
      <c r="C36" s="35"/>
      <c r="D36" s="83" t="s">
        <v>1349</v>
      </c>
      <c r="E36" s="141" t="s">
        <v>1337</v>
      </c>
      <c r="F36" s="133"/>
      <c r="G36" s="192"/>
      <c r="H36" s="133" t="s">
        <v>514</v>
      </c>
      <c r="I36" s="3911" t="s">
        <v>1350</v>
      </c>
      <c r="M36" s="22">
        <v>14</v>
      </c>
    </row>
    <row r="37" spans="1:13" ht="15.75" customHeight="1">
      <c r="A37" s="1607" t="s">
        <v>78</v>
      </c>
      <c r="C37" s="35"/>
      <c r="D37" s="47"/>
      <c r="E37" s="139" t="s">
        <v>530</v>
      </c>
      <c r="F37" s="135"/>
      <c r="G37" s="135"/>
      <c r="H37" s="136"/>
      <c r="I37" s="3911"/>
      <c r="M37" s="22">
        <v>15</v>
      </c>
    </row>
    <row r="38" spans="1:13" ht="27.4" customHeight="1">
      <c r="A38" s="1607"/>
      <c r="C38" s="35"/>
      <c r="D38" s="83" t="s">
        <v>1091</v>
      </c>
      <c r="E38" s="415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4151"/>
      <c r="G38" s="4151"/>
      <c r="H38" s="4151"/>
      <c r="I38" s="191"/>
      <c r="M38" s="22">
        <v>26</v>
      </c>
    </row>
    <row r="39" spans="1:13" ht="14.65" customHeight="1">
      <c r="A39" s="1607"/>
      <c r="C39" s="35"/>
      <c r="D39" s="83" t="s">
        <v>1092</v>
      </c>
      <c r="E39" s="141" t="s">
        <v>1338</v>
      </c>
      <c r="F39" s="133"/>
      <c r="G39" s="142"/>
      <c r="H39" s="133" t="s">
        <v>514</v>
      </c>
      <c r="I39" s="3935" t="s">
        <v>1351</v>
      </c>
      <c r="L39" s="90" t="s">
        <v>1339</v>
      </c>
      <c r="M39" s="22">
        <v>14</v>
      </c>
    </row>
    <row r="40" spans="1:13" ht="15.75" customHeight="1">
      <c r="A40" s="1607" t="s">
        <v>115</v>
      </c>
      <c r="C40" s="35"/>
      <c r="D40" s="47"/>
      <c r="E40" s="139" t="s">
        <v>530</v>
      </c>
      <c r="F40" s="135"/>
      <c r="G40" s="135"/>
      <c r="H40" s="136"/>
      <c r="I40" s="3937"/>
      <c r="M40" s="22">
        <v>15</v>
      </c>
    </row>
    <row r="41" spans="1:13" s="1718" customFormat="1" ht="3" customHeight="1">
      <c r="A41" s="1607"/>
      <c r="K41" s="131"/>
      <c r="L41" s="131"/>
      <c r="M41" s="77">
        <v>3</v>
      </c>
    </row>
    <row r="42" spans="1:13" ht="26.25" customHeight="1">
      <c r="D42" s="1605" t="s">
        <v>1012</v>
      </c>
      <c r="E42" s="403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4032"/>
      <c r="G42" s="4032"/>
      <c r="H42" s="4032"/>
      <c r="I42" s="4032"/>
      <c r="M42" s="22">
        <v>25</v>
      </c>
    </row>
    <row r="43" spans="1:13" ht="22.5" hidden="1" customHeight="1">
      <c r="A43" s="1286" t="s">
        <v>69</v>
      </c>
      <c r="B43" s="82">
        <v>0</v>
      </c>
      <c r="C43" s="36">
        <v>3</v>
      </c>
      <c r="D43" s="22">
        <v>6</v>
      </c>
      <c r="E43" s="22">
        <v>63</v>
      </c>
      <c r="F43" s="22">
        <v>0</v>
      </c>
      <c r="G43" s="22">
        <v>35</v>
      </c>
      <c r="H43" s="22">
        <v>35</v>
      </c>
      <c r="I43" s="22">
        <v>91</v>
      </c>
      <c r="J43" s="22">
        <v>68</v>
      </c>
      <c r="K43" s="90">
        <v>10</v>
      </c>
      <c r="L43" s="90">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K93" activePane="bottomRight" state="frozen"/>
      <selection pane="topRight" activeCell="H1" sqref="H1"/>
      <selection pane="bottomLeft" activeCell="A22" sqref="A22"/>
      <selection pane="bottomRight" activeCell="K155" sqref="K155"/>
    </sheetView>
  </sheetViews>
  <sheetFormatPr defaultColWidth="10.5703125" defaultRowHeight="14.25" customHeight="1"/>
  <cols>
    <col min="1" max="2" width="25.140625" style="1675" hidden="1" customWidth="1"/>
    <col min="3" max="3" width="9.140625" style="1611" hidden="1" customWidth="1"/>
    <col min="4" max="4" width="3" style="279" customWidth="1"/>
    <col min="5" max="5" width="6" style="1559" customWidth="1"/>
    <col min="6" max="6" width="46.7109375" style="1559" customWidth="1"/>
    <col min="7" max="7" width="35" style="1559" customWidth="1"/>
    <col min="8" max="8" width="3" style="1559" customWidth="1"/>
    <col min="9" max="10" width="11" style="1559" customWidth="1"/>
    <col min="11" max="12" width="35" style="1559" customWidth="1"/>
    <col min="13" max="13" width="84" style="1559" customWidth="1"/>
    <col min="14" max="14" width="10" style="1559" customWidth="1"/>
    <col min="15" max="16" width="10" style="1548" customWidth="1"/>
    <col min="17" max="33" width="10" style="1559" customWidth="1"/>
    <col min="34" max="34" width="10.5703125" style="1559" hidden="1"/>
  </cols>
  <sheetData>
    <row r="1" spans="1:34" s="1559" customFormat="1" ht="22.5" hidden="1" customHeight="1">
      <c r="A1" s="1675"/>
      <c r="B1" s="1675"/>
      <c r="C1" s="303"/>
      <c r="D1" s="279"/>
      <c r="N1" s="1560">
        <f>IFERROR(MATCH("метод экономически обоснованных расходов (затрат)",OFFER_METHOD,0),0)</f>
        <v>0</v>
      </c>
      <c r="O1" s="1548"/>
      <c r="P1" s="1548"/>
      <c r="T1" s="759"/>
      <c r="AG1" s="190"/>
      <c r="AH1" s="1555" t="s">
        <v>1</v>
      </c>
    </row>
    <row r="2" spans="1:34" s="1559" customFormat="1" ht="18.75" hidden="1" customHeight="1">
      <c r="A2" s="1676" t="s">
        <v>221</v>
      </c>
      <c r="B2" s="1676" t="s">
        <v>222</v>
      </c>
      <c r="C2" s="303"/>
      <c r="D2" s="279"/>
      <c r="E2" s="958"/>
      <c r="F2" s="958"/>
      <c r="G2" s="4164" t="str">
        <f>INDEX(PT_DIFFERENTIATION_NTAR,MATCH(B2,PT_DIFFERENTIATION_NTAR_ID,0))</f>
        <v/>
      </c>
      <c r="H2" s="1759"/>
      <c r="I2" s="1635"/>
      <c r="J2" s="1669"/>
      <c r="K2" s="1760"/>
      <c r="L2" s="1759" t="s">
        <v>514</v>
      </c>
      <c r="M2" s="1770"/>
      <c r="N2" s="269"/>
      <c r="O2" s="1548"/>
      <c r="P2" s="1548"/>
      <c r="AH2" s="1555">
        <v>0</v>
      </c>
    </row>
    <row r="3" spans="1:34" s="1559" customFormat="1" ht="18.75" hidden="1" customHeight="1">
      <c r="A3" s="1676"/>
      <c r="B3" s="1676"/>
      <c r="C3" s="303" t="s">
        <v>1352</v>
      </c>
      <c r="D3" s="279"/>
      <c r="E3" s="958"/>
      <c r="F3" s="958"/>
      <c r="G3" s="4164"/>
      <c r="H3" s="1424"/>
      <c r="I3" s="585" t="s">
        <v>1353</v>
      </c>
      <c r="J3" s="505"/>
      <c r="K3" s="1424"/>
      <c r="L3" s="149"/>
      <c r="M3" s="1770"/>
      <c r="N3" s="269"/>
      <c r="O3" s="1548"/>
      <c r="P3" s="1548"/>
      <c r="AH3" s="1555">
        <v>0</v>
      </c>
    </row>
    <row r="4" spans="1:34" s="1559" customFormat="1" ht="14.25" hidden="1" customHeight="1">
      <c r="A4" s="1675"/>
      <c r="B4" s="1675"/>
      <c r="C4" s="303"/>
      <c r="D4" s="279"/>
      <c r="N4" s="1560">
        <f>IFERROR(MATCH("метод экономически обоснованных расходов (затрат)",OFFER_METHOD,0),0)</f>
        <v>0</v>
      </c>
      <c r="O4" s="1548"/>
      <c r="P4" s="1548"/>
      <c r="T4" s="759"/>
      <c r="AG4" s="190"/>
      <c r="AH4" s="1555">
        <v>0</v>
      </c>
    </row>
    <row r="5" spans="1:34" s="1559" customFormat="1" ht="18.75" hidden="1" customHeight="1">
      <c r="A5" s="1676" t="s">
        <v>221</v>
      </c>
      <c r="B5" s="1676" t="s">
        <v>222</v>
      </c>
      <c r="C5" s="303"/>
      <c r="D5" s="279"/>
      <c r="E5" s="958"/>
      <c r="F5" s="958"/>
      <c r="G5" s="4164" t="str">
        <f>INDEX(PT_DIFFERENTIATION_NTAR,MATCH(B5,PT_DIFFERENTIATION_NTAR_ID,0))</f>
        <v/>
      </c>
      <c r="H5" s="1759"/>
      <c r="I5" s="1635"/>
      <c r="J5" s="1669"/>
      <c r="K5" s="1674"/>
      <c r="L5" s="1759" t="s">
        <v>514</v>
      </c>
      <c r="M5" s="1770"/>
      <c r="N5" s="269"/>
      <c r="O5" s="1548"/>
      <c r="P5" s="1548"/>
      <c r="AH5" s="1555">
        <v>0</v>
      </c>
    </row>
    <row r="6" spans="1:34" s="1559" customFormat="1" ht="18.75" hidden="1" customHeight="1">
      <c r="A6" s="1676"/>
      <c r="B6" s="1676"/>
      <c r="C6" s="303" t="s">
        <v>1354</v>
      </c>
      <c r="D6" s="279"/>
      <c r="E6" s="958"/>
      <c r="F6" s="958"/>
      <c r="G6" s="4164"/>
      <c r="H6" s="1424"/>
      <c r="I6" s="585" t="s">
        <v>1353</v>
      </c>
      <c r="J6" s="505"/>
      <c r="K6" s="1424"/>
      <c r="L6" s="149"/>
      <c r="M6" s="1770"/>
      <c r="N6" s="269"/>
      <c r="O6" s="1548"/>
      <c r="P6" s="1548"/>
      <c r="AH6" s="1555">
        <v>0</v>
      </c>
    </row>
    <row r="7" spans="1:34" s="1559" customFormat="1" ht="14.25" hidden="1" customHeight="1">
      <c r="A7" s="1675"/>
      <c r="B7" s="1675"/>
      <c r="C7" s="303"/>
      <c r="D7" s="279"/>
      <c r="N7" s="1560">
        <f>IFERROR(MATCH("метод экономически обоснованных расходов (затрат)",OFFER_METHOD,0),0)</f>
        <v>0</v>
      </c>
      <c r="O7" s="1548"/>
      <c r="P7" s="1548"/>
      <c r="T7" s="759"/>
      <c r="AG7" s="190"/>
      <c r="AH7" s="1555">
        <v>0</v>
      </c>
    </row>
    <row r="8" spans="1:34" s="1559" customFormat="1" ht="56.25" hidden="1" customHeight="1">
      <c r="A8" s="1676"/>
      <c r="B8" s="1676"/>
      <c r="C8" s="303"/>
      <c r="D8" s="279"/>
      <c r="E8" s="958"/>
      <c r="F8" s="958"/>
      <c r="G8" s="958"/>
      <c r="H8" s="1667"/>
      <c r="I8" s="1635"/>
      <c r="J8" s="1669"/>
      <c r="K8" s="1760"/>
      <c r="L8" s="1667" t="s">
        <v>514</v>
      </c>
      <c r="M8" s="1770"/>
      <c r="N8" s="269"/>
      <c r="O8" s="1548"/>
      <c r="P8" s="1548"/>
      <c r="AH8" s="1555">
        <v>0</v>
      </c>
    </row>
    <row r="9" spans="1:34" ht="14.25" hidden="1" customHeight="1">
      <c r="T9" s="331"/>
      <c r="AG9" s="190"/>
      <c r="AH9" s="308">
        <v>0</v>
      </c>
    </row>
    <row r="10" spans="1:34" s="1559" customFormat="1" ht="56.25" hidden="1" customHeight="1">
      <c r="A10" s="1676"/>
      <c r="B10" s="1676"/>
      <c r="C10" s="303"/>
      <c r="D10" s="279"/>
      <c r="E10" s="958"/>
      <c r="F10" s="958"/>
      <c r="G10" s="958"/>
      <c r="H10" s="1666"/>
      <c r="I10" s="1635"/>
      <c r="J10" s="1669"/>
      <c r="K10" s="1674"/>
      <c r="L10" s="1667" t="s">
        <v>514</v>
      </c>
      <c r="M10" s="1770"/>
      <c r="N10" s="269"/>
      <c r="O10" s="1548"/>
      <c r="P10" s="1548"/>
      <c r="AH10" s="1555">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419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4190"/>
      <c r="G14" s="4190"/>
      <c r="H14" s="4190"/>
      <c r="I14" s="4190"/>
      <c r="J14" s="4190"/>
      <c r="K14" s="4190"/>
      <c r="L14" s="4190"/>
      <c r="M14" s="155"/>
      <c r="AH14" s="308">
        <v>14</v>
      </c>
    </row>
    <row r="15" spans="1:34" ht="6.4" customHeight="1">
      <c r="D15" s="310"/>
      <c r="E15" s="297"/>
      <c r="F15" s="323"/>
      <c r="G15" s="323"/>
      <c r="H15" s="323"/>
      <c r="I15" s="323"/>
      <c r="J15" s="323"/>
      <c r="K15" s="323"/>
      <c r="L15" s="257"/>
      <c r="M15" s="128"/>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утверждении тарифов</v>
      </c>
      <c r="G16" s="4025">
        <f>IF(TITLE_DATE_PR_CHANGE="",IF(TITLE_DATE_PR="","",TITLE_DATE_PR),TITLE_DATE_PR_CHANGE)</f>
        <v>45765</v>
      </c>
      <c r="H16" s="4025"/>
      <c r="I16" s="4025"/>
      <c r="J16" s="4025"/>
      <c r="K16" s="4025"/>
      <c r="L16" s="4025"/>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утверждении тарифов</v>
      </c>
      <c r="G17" s="4026" t="str">
        <f>IF(TITLE_NUMBER_PR_CHANGE="",IF(TITLE_NUMBER_PR="","",TITLE_NUMBER_PR),TITLE_NUMBER_PR_CHANGE)</f>
        <v>917</v>
      </c>
      <c r="H17" s="4026"/>
      <c r="I17" s="4026"/>
      <c r="J17" s="4026"/>
      <c r="K17" s="4026"/>
      <c r="L17" s="4026"/>
      <c r="M17" s="332"/>
      <c r="N17" s="261"/>
      <c r="AH17" s="308">
        <v>23</v>
      </c>
    </row>
    <row r="18" spans="1:34" ht="14.65" customHeight="1">
      <c r="D18" s="310"/>
      <c r="E18" s="297"/>
      <c r="F18" s="323"/>
      <c r="G18" s="323"/>
      <c r="H18" s="323"/>
      <c r="I18" s="323"/>
      <c r="J18" s="323"/>
      <c r="K18" s="323"/>
      <c r="L18" s="686"/>
      <c r="M18" s="128"/>
      <c r="AH18" s="308">
        <v>14</v>
      </c>
    </row>
    <row r="19" spans="1:34" ht="21.95" customHeight="1">
      <c r="D19" s="310"/>
      <c r="E19" s="3995" t="s">
        <v>508</v>
      </c>
      <c r="F19" s="3995"/>
      <c r="G19" s="3995"/>
      <c r="H19" s="3995"/>
      <c r="I19" s="3995"/>
      <c r="J19" s="3995"/>
      <c r="K19" s="3995"/>
      <c r="L19" s="3995"/>
      <c r="M19" s="4137" t="s">
        <v>509</v>
      </c>
      <c r="AH19" s="308">
        <v>21</v>
      </c>
    </row>
    <row r="20" spans="1:34" ht="21.95" customHeight="1">
      <c r="D20" s="310"/>
      <c r="E20" s="4050" t="s">
        <v>75</v>
      </c>
      <c r="F20" s="4001" t="s">
        <v>194</v>
      </c>
      <c r="G20" s="4001" t="s">
        <v>195</v>
      </c>
      <c r="H20" s="4134" t="s">
        <v>1355</v>
      </c>
      <c r="I20" s="4135"/>
      <c r="J20" s="4166"/>
      <c r="K20" s="4001" t="s">
        <v>511</v>
      </c>
      <c r="L20" s="4001" t="s">
        <v>598</v>
      </c>
      <c r="M20" s="4137"/>
      <c r="AH20" s="308">
        <v>21</v>
      </c>
    </row>
    <row r="21" spans="1:34" ht="21.95" customHeight="1">
      <c r="D21" s="310"/>
      <c r="E21" s="4052"/>
      <c r="F21" s="4002"/>
      <c r="G21" s="4002"/>
      <c r="H21" s="4000" t="s">
        <v>1356</v>
      </c>
      <c r="I21" s="4013"/>
      <c r="J21" s="46" t="s">
        <v>1357</v>
      </c>
      <c r="K21" s="4002"/>
      <c r="L21" s="4002"/>
      <c r="M21" s="4137"/>
      <c r="AH21" s="308">
        <v>21</v>
      </c>
    </row>
    <row r="22" spans="1:34" ht="12.75" customHeight="1">
      <c r="D22" s="310"/>
      <c r="E22" s="216"/>
      <c r="F22" s="216"/>
      <c r="G22" s="216"/>
      <c r="H22" s="4192"/>
      <c r="I22" s="4192"/>
      <c r="J22" s="216"/>
      <c r="K22" s="216"/>
      <c r="L22" s="216"/>
      <c r="M22" s="216"/>
      <c r="AH22" s="308">
        <v>12</v>
      </c>
    </row>
    <row r="23" spans="1:34" ht="19.899999999999999" customHeight="1">
      <c r="A23" s="1676"/>
      <c r="B23" s="1676"/>
      <c r="D23" s="310"/>
      <c r="E23" s="1761" t="s">
        <v>184</v>
      </c>
      <c r="F23" s="4193" t="str">
        <f>"Предлагаемый метод регулирования"&amp;IF(TEMPLATE_SPHERE="HEAT"," в сфере "&amp;TEMPLATE_SPHERE_RUS,"")</f>
        <v>Предлагаемый метод регулирования в сфере теплоснабжения</v>
      </c>
      <c r="G23" s="4193"/>
      <c r="H23" s="4188"/>
      <c r="I23" s="4188"/>
      <c r="J23" s="4188"/>
      <c r="K23" s="4193" t="s">
        <v>514</v>
      </c>
      <c r="L23" s="4188"/>
      <c r="M23" s="1665"/>
      <c r="N23" s="269"/>
      <c r="AH23" s="308">
        <v>19</v>
      </c>
    </row>
    <row r="24" spans="1:34" ht="60.75" hidden="1" customHeight="1">
      <c r="A24" s="1676" t="s">
        <v>221</v>
      </c>
      <c r="B24" s="1676" t="s">
        <v>222</v>
      </c>
      <c r="D24" s="4191"/>
      <c r="E24" s="3990"/>
      <c r="F24" s="419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164" t="str">
        <f>INDEX(PT_DIFFERENTIATION_NTAR,MATCH(B24,PT_DIFFERENTIATION_NTAR_ID,0))</f>
        <v/>
      </c>
      <c r="H24" s="1757"/>
      <c r="I24" s="1635"/>
      <c r="J24" s="1669"/>
      <c r="K24" s="1760"/>
      <c r="L24" s="1664" t="s">
        <v>514</v>
      </c>
      <c r="M24" s="39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1559" customFormat="1" ht="18.75" hidden="1" customHeight="1">
      <c r="A25" s="1676"/>
      <c r="B25" s="1676"/>
      <c r="C25" s="303" t="s">
        <v>1352</v>
      </c>
      <c r="D25" s="4191"/>
      <c r="E25" s="3990"/>
      <c r="F25" s="4194"/>
      <c r="G25" s="4164"/>
      <c r="H25" s="1424"/>
      <c r="I25" s="585" t="s">
        <v>1353</v>
      </c>
      <c r="J25" s="505"/>
      <c r="K25" s="1424"/>
      <c r="L25" s="149"/>
      <c r="M25" s="3936"/>
      <c r="N25" s="269"/>
      <c r="O25" s="1548"/>
      <c r="P25" s="1548"/>
      <c r="AH25" s="1555">
        <v>0</v>
      </c>
    </row>
    <row r="26" spans="1:34" ht="0.75" hidden="1" customHeight="1">
      <c r="A26" s="1676"/>
      <c r="B26" s="1676"/>
      <c r="C26" s="303" t="s">
        <v>1358</v>
      </c>
      <c r="D26" s="4191"/>
      <c r="E26" s="3990"/>
      <c r="F26" s="4127"/>
      <c r="G26" s="334"/>
      <c r="H26" s="1424"/>
      <c r="I26" s="329"/>
      <c r="J26" s="283"/>
      <c r="K26" s="1424"/>
      <c r="L26" s="136"/>
      <c r="M26" s="3936"/>
      <c r="N26" s="269"/>
      <c r="AH26" s="308">
        <v>0</v>
      </c>
    </row>
    <row r="27" spans="1:34" s="1559" customFormat="1" ht="45" customHeight="1">
      <c r="A27" s="1676" t="s">
        <v>230</v>
      </c>
      <c r="B27" s="1676" t="s">
        <v>231</v>
      </c>
      <c r="C27" s="303"/>
      <c r="D27" s="4189"/>
      <c r="E27" s="4195"/>
      <c r="F27" s="4196"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4164" t="str">
        <f>INDEX(PT_DIFFERENTIATION_NTAR,MATCH(B27,PT_DIFFERENTIATION_NTAR_ID,0))</f>
        <v>Тариф на тепловую энергию (мощность), поставляемую потребителям</v>
      </c>
      <c r="H27" s="1757"/>
      <c r="I27" s="1635">
        <v>46023.459502314814</v>
      </c>
      <c r="J27" s="1669">
        <v>46387.459664351853</v>
      </c>
      <c r="K27" s="1760" t="s">
        <v>1359</v>
      </c>
      <c r="L27" s="1757" t="s">
        <v>514</v>
      </c>
      <c r="M27" s="3936"/>
      <c r="N27" s="269"/>
      <c r="O27" s="1548"/>
      <c r="P27" s="1548"/>
      <c r="AH27" s="1555">
        <v>0</v>
      </c>
    </row>
    <row r="28" spans="1:34" s="1559" customFormat="1" ht="18.75" customHeight="1">
      <c r="A28" s="1676"/>
      <c r="B28" s="1676"/>
      <c r="C28" s="303" t="s">
        <v>1352</v>
      </c>
      <c r="D28" s="4189"/>
      <c r="E28" s="4195"/>
      <c r="F28" s="4196"/>
      <c r="G28" s="4164"/>
      <c r="H28" s="1424"/>
      <c r="I28" s="585" t="s">
        <v>1353</v>
      </c>
      <c r="J28" s="505"/>
      <c r="K28" s="1424"/>
      <c r="L28" s="149"/>
      <c r="M28" s="3936"/>
      <c r="N28" s="269"/>
      <c r="O28" s="1548"/>
      <c r="P28" s="1548"/>
      <c r="AH28" s="1555">
        <v>0</v>
      </c>
    </row>
    <row r="29" spans="1:34" s="1559" customFormat="1" ht="0.75" customHeight="1">
      <c r="A29" s="1676"/>
      <c r="B29" s="1676"/>
      <c r="C29" s="303" t="s">
        <v>1358</v>
      </c>
      <c r="D29" s="4189"/>
      <c r="E29" s="3990"/>
      <c r="F29" s="4127"/>
      <c r="G29" s="334"/>
      <c r="H29" s="1424"/>
      <c r="I29" s="585"/>
      <c r="J29" s="505"/>
      <c r="K29" s="1424"/>
      <c r="L29" s="149"/>
      <c r="M29" s="3936"/>
      <c r="N29" s="269"/>
      <c r="O29" s="1548"/>
      <c r="P29" s="1548"/>
      <c r="AH29" s="1555">
        <v>0</v>
      </c>
    </row>
    <row r="30" spans="1:34" s="1559" customFormat="1" ht="45" customHeight="1">
      <c r="A30" s="1676" t="s">
        <v>292</v>
      </c>
      <c r="B30" s="1676" t="s">
        <v>293</v>
      </c>
      <c r="C30" s="303"/>
      <c r="D30" s="4189"/>
      <c r="E30" s="3990"/>
      <c r="F30" s="412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164" t="str">
        <f>INDEX(PT_DIFFERENTIATION_NTAR,MATCH(B30,PT_DIFFERENTIATION_NTAR_ID,0))</f>
        <v>Тариф на теплоноситель, посталяемый потребителям</v>
      </c>
      <c r="H30" s="1757"/>
      <c r="I30" s="1635">
        <v>46023.459756944445</v>
      </c>
      <c r="J30" s="1669">
        <v>46387.459837962961</v>
      </c>
      <c r="K30" s="1760" t="s">
        <v>1359</v>
      </c>
      <c r="L30" s="1757" t="s">
        <v>514</v>
      </c>
      <c r="M30" s="3936"/>
      <c r="N30" s="269"/>
      <c r="O30" s="1548"/>
      <c r="P30" s="1548"/>
      <c r="AH30" s="1555">
        <v>0</v>
      </c>
    </row>
    <row r="31" spans="1:34" s="1559" customFormat="1" ht="18.75" customHeight="1">
      <c r="A31" s="1676"/>
      <c r="B31" s="1676"/>
      <c r="C31" s="303" t="s">
        <v>1352</v>
      </c>
      <c r="D31" s="4189"/>
      <c r="E31" s="3990"/>
      <c r="F31" s="4127"/>
      <c r="G31" s="4164"/>
      <c r="H31" s="1424"/>
      <c r="I31" s="585" t="s">
        <v>1353</v>
      </c>
      <c r="J31" s="505"/>
      <c r="K31" s="1424"/>
      <c r="L31" s="149"/>
      <c r="M31" s="3936"/>
      <c r="N31" s="269"/>
      <c r="O31" s="1548"/>
      <c r="P31" s="1548"/>
      <c r="AH31" s="1555">
        <v>0</v>
      </c>
    </row>
    <row r="32" spans="1:34" s="1559" customFormat="1" ht="0.75" customHeight="1">
      <c r="A32" s="1676"/>
      <c r="B32" s="1676"/>
      <c r="C32" s="303" t="s">
        <v>1358</v>
      </c>
      <c r="D32" s="4189"/>
      <c r="E32" s="3990"/>
      <c r="F32" s="4127"/>
      <c r="G32" s="334"/>
      <c r="H32" s="1424"/>
      <c r="I32" s="585"/>
      <c r="J32" s="505"/>
      <c r="K32" s="1424"/>
      <c r="L32" s="149"/>
      <c r="M32" s="3936"/>
      <c r="N32" s="269"/>
      <c r="O32" s="1548"/>
      <c r="P32" s="1548"/>
      <c r="AH32" s="1555">
        <v>0</v>
      </c>
    </row>
    <row r="33" spans="1:34" s="1559" customFormat="1" ht="45" customHeight="1">
      <c r="A33" s="1676" t="s">
        <v>383</v>
      </c>
      <c r="B33" s="1676" t="s">
        <v>384</v>
      </c>
      <c r="C33" s="303"/>
      <c r="D33" s="4189"/>
      <c r="E33" s="3990"/>
      <c r="F33" s="412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164" t="str">
        <f>INDEX(PT_DIFFERENTIATION_NTAR,MATCH(B33,PT_DIFFERENTIATION_NTAR_ID,0))</f>
        <v>Тариф на горячую воду с использованиемоткрытой системы горячего водоснабжения</v>
      </c>
      <c r="H33" s="1757"/>
      <c r="I33" s="1635">
        <v>46023.459907407407</v>
      </c>
      <c r="J33" s="1669">
        <v>46387.46</v>
      </c>
      <c r="K33" s="1760" t="s">
        <v>1359</v>
      </c>
      <c r="L33" s="1757" t="s">
        <v>514</v>
      </c>
      <c r="M33" s="3936"/>
      <c r="N33" s="269"/>
      <c r="O33" s="1548"/>
      <c r="P33" s="1548"/>
      <c r="AH33" s="1555">
        <v>0</v>
      </c>
    </row>
    <row r="34" spans="1:34" s="1559" customFormat="1" ht="18.75" customHeight="1">
      <c r="A34" s="1676"/>
      <c r="B34" s="1676"/>
      <c r="C34" s="303" t="s">
        <v>1352</v>
      </c>
      <c r="D34" s="4189"/>
      <c r="E34" s="3990"/>
      <c r="F34" s="4127"/>
      <c r="G34" s="4164"/>
      <c r="H34" s="1424"/>
      <c r="I34" s="585" t="s">
        <v>1353</v>
      </c>
      <c r="J34" s="505"/>
      <c r="K34" s="1424"/>
      <c r="L34" s="149"/>
      <c r="M34" s="3936"/>
      <c r="N34" s="269"/>
      <c r="O34" s="1548"/>
      <c r="P34" s="1548"/>
      <c r="AH34" s="1555">
        <v>0</v>
      </c>
    </row>
    <row r="35" spans="1:34" s="1559" customFormat="1" ht="0.75" customHeight="1">
      <c r="A35" s="1676"/>
      <c r="B35" s="1676"/>
      <c r="C35" s="303" t="s">
        <v>1358</v>
      </c>
      <c r="D35" s="4189"/>
      <c r="E35" s="3990"/>
      <c r="F35" s="4127"/>
      <c r="G35" s="334"/>
      <c r="H35" s="1424"/>
      <c r="I35" s="585"/>
      <c r="J35" s="505"/>
      <c r="K35" s="1424"/>
      <c r="L35" s="149"/>
      <c r="M35" s="3936"/>
      <c r="N35" s="269"/>
      <c r="O35" s="1548"/>
      <c r="P35" s="1548"/>
      <c r="AH35" s="1555">
        <v>0</v>
      </c>
    </row>
    <row r="36" spans="1:34" s="1559" customFormat="1" ht="18.75" hidden="1" customHeight="1">
      <c r="A36" s="1676" t="s">
        <v>389</v>
      </c>
      <c r="B36" s="1676" t="s">
        <v>390</v>
      </c>
      <c r="C36" s="303"/>
      <c r="D36" s="4189"/>
      <c r="E36" s="3990"/>
      <c r="F36" s="4127" t="str">
        <f>INDEX(PT_DIFFERENTIATION_VTAR,MATCH(A36,PT_DIFFERENTIATION_VTAR_ID,0))</f>
        <v>Тарифы на услуги по передаче тепловой энергии</v>
      </c>
      <c r="G36" s="4164" t="str">
        <f>INDEX(PT_DIFFERENTIATION_NTAR,MATCH(B36,PT_DIFFERENTIATION_NTAR_ID,0))</f>
        <v/>
      </c>
      <c r="H36" s="1757"/>
      <c r="I36" s="1635"/>
      <c r="J36" s="1669"/>
      <c r="K36" s="1760"/>
      <c r="L36" s="1757" t="s">
        <v>514</v>
      </c>
      <c r="M36" s="3936"/>
      <c r="N36" s="269"/>
      <c r="O36" s="1548"/>
      <c r="P36" s="1548"/>
      <c r="AH36" s="1555">
        <v>0</v>
      </c>
    </row>
    <row r="37" spans="1:34" s="1559" customFormat="1" ht="18.75" hidden="1" customHeight="1">
      <c r="A37" s="1676"/>
      <c r="B37" s="1676"/>
      <c r="C37" s="303" t="s">
        <v>1352</v>
      </c>
      <c r="D37" s="4189"/>
      <c r="E37" s="3990"/>
      <c r="F37" s="4127"/>
      <c r="G37" s="4164"/>
      <c r="H37" s="1424"/>
      <c r="I37" s="585" t="s">
        <v>1353</v>
      </c>
      <c r="J37" s="505"/>
      <c r="K37" s="1424"/>
      <c r="L37" s="149"/>
      <c r="M37" s="3936"/>
      <c r="N37" s="269"/>
      <c r="O37" s="1548"/>
      <c r="P37" s="1548"/>
      <c r="AH37" s="1555">
        <v>0</v>
      </c>
    </row>
    <row r="38" spans="1:34" s="1559" customFormat="1" ht="0.75" hidden="1" customHeight="1">
      <c r="A38" s="1676"/>
      <c r="B38" s="1676"/>
      <c r="C38" s="303" t="s">
        <v>1358</v>
      </c>
      <c r="D38" s="4189"/>
      <c r="E38" s="3990"/>
      <c r="F38" s="4127"/>
      <c r="G38" s="334"/>
      <c r="H38" s="1424"/>
      <c r="I38" s="585"/>
      <c r="J38" s="505"/>
      <c r="K38" s="1424"/>
      <c r="L38" s="149"/>
      <c r="M38" s="3936"/>
      <c r="N38" s="269"/>
      <c r="O38" s="1548"/>
      <c r="P38" s="1548"/>
      <c r="AH38" s="1555">
        <v>0</v>
      </c>
    </row>
    <row r="39" spans="1:34" s="1559" customFormat="1" ht="18.75" hidden="1" customHeight="1">
      <c r="A39" s="1676" t="s">
        <v>395</v>
      </c>
      <c r="B39" s="1676" t="s">
        <v>396</v>
      </c>
      <c r="C39" s="303"/>
      <c r="D39" s="4189"/>
      <c r="E39" s="3990"/>
      <c r="F39" s="4127" t="str">
        <f>INDEX(PT_DIFFERENTIATION_VTAR,MATCH(A39,PT_DIFFERENTIATION_VTAR_ID,0))</f>
        <v>Тарифы на услуги по передаче теплоносителя</v>
      </c>
      <c r="G39" s="4164" t="str">
        <f>INDEX(PT_DIFFERENTIATION_NTAR,MATCH(B39,PT_DIFFERENTIATION_NTAR_ID,0))</f>
        <v/>
      </c>
      <c r="H39" s="1757"/>
      <c r="I39" s="1635"/>
      <c r="J39" s="1669"/>
      <c r="K39" s="1760"/>
      <c r="L39" s="1757" t="s">
        <v>514</v>
      </c>
      <c r="M39" s="3936"/>
      <c r="N39" s="269"/>
      <c r="O39" s="1548"/>
      <c r="P39" s="1548"/>
      <c r="AH39" s="1555">
        <v>0</v>
      </c>
    </row>
    <row r="40" spans="1:34" s="1559" customFormat="1" ht="18.75" hidden="1" customHeight="1">
      <c r="A40" s="1676"/>
      <c r="B40" s="1676"/>
      <c r="C40" s="303" t="s">
        <v>1352</v>
      </c>
      <c r="D40" s="4189"/>
      <c r="E40" s="3990"/>
      <c r="F40" s="4127"/>
      <c r="G40" s="4164"/>
      <c r="H40" s="1424"/>
      <c r="I40" s="585" t="s">
        <v>1353</v>
      </c>
      <c r="J40" s="505"/>
      <c r="K40" s="1424"/>
      <c r="L40" s="149"/>
      <c r="M40" s="3936"/>
      <c r="N40" s="269"/>
      <c r="O40" s="1548"/>
      <c r="P40" s="1548"/>
      <c r="AH40" s="1555">
        <v>0</v>
      </c>
    </row>
    <row r="41" spans="1:34" s="1559" customFormat="1" ht="0.75" hidden="1" customHeight="1">
      <c r="A41" s="1676"/>
      <c r="B41" s="1676"/>
      <c r="C41" s="303" t="s">
        <v>1358</v>
      </c>
      <c r="D41" s="4189"/>
      <c r="E41" s="3990"/>
      <c r="F41" s="4127"/>
      <c r="G41" s="334"/>
      <c r="H41" s="1424"/>
      <c r="I41" s="585"/>
      <c r="J41" s="505"/>
      <c r="K41" s="1424"/>
      <c r="L41" s="149"/>
      <c r="M41" s="3936"/>
      <c r="N41" s="269"/>
      <c r="O41" s="1548"/>
      <c r="P41" s="1548"/>
      <c r="AH41" s="1555">
        <v>0</v>
      </c>
    </row>
    <row r="42" spans="1:34" s="1559" customFormat="1" ht="18.75" hidden="1" customHeight="1">
      <c r="A42" s="1676" t="s">
        <v>401</v>
      </c>
      <c r="B42" s="1676" t="s">
        <v>402</v>
      </c>
      <c r="C42" s="303"/>
      <c r="D42" s="4189"/>
      <c r="E42" s="3990"/>
      <c r="F42" s="4127" t="str">
        <f>INDEX(PT_DIFFERENTIATION_VTAR,MATCH(A42,PT_DIFFERENTIATION_VTAR_ID,0))</f>
        <v>Плата за услуги по поддержанию резервной тепловой мощности при отсутствии потребления тепловой энергии</v>
      </c>
      <c r="G42" s="4164" t="str">
        <f>INDEX(PT_DIFFERENTIATION_NTAR,MATCH(B42,PT_DIFFERENTIATION_NTAR_ID,0))</f>
        <v/>
      </c>
      <c r="H42" s="1757"/>
      <c r="I42" s="1635"/>
      <c r="J42" s="1669"/>
      <c r="K42" s="1760"/>
      <c r="L42" s="1757" t="s">
        <v>514</v>
      </c>
      <c r="M42" s="3936"/>
      <c r="N42" s="269"/>
      <c r="O42" s="1548"/>
      <c r="P42" s="1548"/>
      <c r="AH42" s="1555">
        <v>0</v>
      </c>
    </row>
    <row r="43" spans="1:34" s="1559" customFormat="1" ht="18.75" hidden="1" customHeight="1">
      <c r="A43" s="1676"/>
      <c r="B43" s="1676"/>
      <c r="C43" s="303" t="s">
        <v>1352</v>
      </c>
      <c r="D43" s="4189"/>
      <c r="E43" s="3990"/>
      <c r="F43" s="4127"/>
      <c r="G43" s="4164"/>
      <c r="H43" s="1424"/>
      <c r="I43" s="585" t="s">
        <v>1353</v>
      </c>
      <c r="J43" s="505"/>
      <c r="K43" s="1424"/>
      <c r="L43" s="149"/>
      <c r="M43" s="3936"/>
      <c r="N43" s="269"/>
      <c r="O43" s="1548"/>
      <c r="P43" s="1548"/>
      <c r="AH43" s="1555">
        <v>0</v>
      </c>
    </row>
    <row r="44" spans="1:34" s="1559" customFormat="1" ht="0.75" hidden="1" customHeight="1">
      <c r="A44" s="1676"/>
      <c r="B44" s="1676"/>
      <c r="C44" s="303" t="s">
        <v>1358</v>
      </c>
      <c r="D44" s="4189"/>
      <c r="E44" s="3990"/>
      <c r="F44" s="4127"/>
      <c r="G44" s="334"/>
      <c r="H44" s="1424"/>
      <c r="I44" s="585"/>
      <c r="J44" s="505"/>
      <c r="K44" s="1424"/>
      <c r="L44" s="149"/>
      <c r="M44" s="3936"/>
      <c r="N44" s="269"/>
      <c r="O44" s="1548"/>
      <c r="P44" s="1548"/>
      <c r="AH44" s="1555">
        <v>0</v>
      </c>
    </row>
    <row r="45" spans="1:34" s="1559" customFormat="1" ht="18.75" hidden="1" customHeight="1">
      <c r="A45" s="1676" t="s">
        <v>407</v>
      </c>
      <c r="B45" s="1676" t="s">
        <v>408</v>
      </c>
      <c r="C45" s="303"/>
      <c r="D45" s="4189"/>
      <c r="E45" s="3990"/>
      <c r="F45" s="4127" t="str">
        <f>INDEX(PT_DIFFERENTIATION_VTAR,MATCH(A45,PT_DIFFERENTIATION_VTAR_ID,0))</f>
        <v>Плата за подключение (технологическое присоединение) к системе теплоснабжения</v>
      </c>
      <c r="G45" s="4164" t="str">
        <f>INDEX(PT_DIFFERENTIATION_NTAR,MATCH(B45,PT_DIFFERENTIATION_NTAR_ID,0))</f>
        <v/>
      </c>
      <c r="H45" s="1757"/>
      <c r="I45" s="1635"/>
      <c r="J45" s="1669"/>
      <c r="K45" s="1760"/>
      <c r="L45" s="1757" t="s">
        <v>514</v>
      </c>
      <c r="M45" s="3936"/>
      <c r="N45" s="269"/>
      <c r="O45" s="1548"/>
      <c r="P45" s="1548"/>
      <c r="AH45" s="1555">
        <v>0</v>
      </c>
    </row>
    <row r="46" spans="1:34" s="1559" customFormat="1" ht="18.75" hidden="1" customHeight="1">
      <c r="A46" s="1676"/>
      <c r="B46" s="1676"/>
      <c r="C46" s="303" t="s">
        <v>1352</v>
      </c>
      <c r="D46" s="4189"/>
      <c r="E46" s="3990"/>
      <c r="F46" s="4127"/>
      <c r="G46" s="4164"/>
      <c r="H46" s="1424"/>
      <c r="I46" s="585" t="s">
        <v>1353</v>
      </c>
      <c r="J46" s="505"/>
      <c r="K46" s="1424"/>
      <c r="L46" s="149"/>
      <c r="M46" s="3936"/>
      <c r="N46" s="269"/>
      <c r="O46" s="1548"/>
      <c r="P46" s="1548"/>
      <c r="AH46" s="1555">
        <v>0</v>
      </c>
    </row>
    <row r="47" spans="1:34" s="1559" customFormat="1" ht="0.75" hidden="1" customHeight="1">
      <c r="A47" s="1676"/>
      <c r="B47" s="1676"/>
      <c r="C47" s="303" t="s">
        <v>1358</v>
      </c>
      <c r="D47" s="4189"/>
      <c r="E47" s="3990"/>
      <c r="F47" s="4127"/>
      <c r="G47" s="334"/>
      <c r="H47" s="1424"/>
      <c r="I47" s="585"/>
      <c r="J47" s="505"/>
      <c r="K47" s="1424"/>
      <c r="L47" s="149"/>
      <c r="M47" s="3936"/>
      <c r="N47" s="269"/>
      <c r="O47" s="1548"/>
      <c r="P47" s="1548"/>
      <c r="AH47" s="1555">
        <v>0</v>
      </c>
    </row>
    <row r="48" spans="1:34" s="1559" customFormat="1" ht="18.75" hidden="1" customHeight="1">
      <c r="A48" s="1676" t="s">
        <v>413</v>
      </c>
      <c r="B48" s="1676" t="s">
        <v>414</v>
      </c>
      <c r="C48" s="303"/>
      <c r="D48" s="4189"/>
      <c r="E48" s="3990"/>
      <c r="F48" s="4127" t="str">
        <f>INDEX(PT_DIFFERENTIATION_VTAR,MATCH(A48,PT_DIFFERENTIATION_VTAR_ID,0))</f>
        <v>Плата за подключение (технологическое присоединение) к системе теплоснабжения (индивидуальная)</v>
      </c>
      <c r="G48" s="4164" t="str">
        <f>INDEX(PT_DIFFERENTIATION_NTAR,MATCH(B48,PT_DIFFERENTIATION_NTAR_ID,0))</f>
        <v/>
      </c>
      <c r="H48" s="1881"/>
      <c r="I48" s="1635"/>
      <c r="J48" s="1669"/>
      <c r="K48" s="1760"/>
      <c r="L48" s="1881" t="s">
        <v>514</v>
      </c>
      <c r="M48" s="3936"/>
      <c r="N48" s="269"/>
      <c r="O48" s="1548"/>
      <c r="P48" s="1548"/>
      <c r="AH48" s="1555">
        <v>0</v>
      </c>
    </row>
    <row r="49" spans="1:34" s="1559" customFormat="1" ht="18.75" hidden="1" customHeight="1">
      <c r="A49" s="1676"/>
      <c r="B49" s="1676"/>
      <c r="C49" s="303" t="s">
        <v>1352</v>
      </c>
      <c r="D49" s="4189"/>
      <c r="E49" s="3990"/>
      <c r="F49" s="4127"/>
      <c r="G49" s="4164"/>
      <c r="H49" s="1424"/>
      <c r="I49" s="585" t="s">
        <v>1353</v>
      </c>
      <c r="J49" s="505"/>
      <c r="K49" s="1424"/>
      <c r="L49" s="149"/>
      <c r="M49" s="3936"/>
      <c r="N49" s="269"/>
      <c r="O49" s="1548"/>
      <c r="P49" s="1548"/>
      <c r="AH49" s="1555">
        <v>0</v>
      </c>
    </row>
    <row r="50" spans="1:34" s="1559" customFormat="1" ht="0.75" hidden="1" customHeight="1">
      <c r="A50" s="1676"/>
      <c r="B50" s="1676"/>
      <c r="C50" s="303" t="s">
        <v>1358</v>
      </c>
      <c r="D50" s="4189"/>
      <c r="E50" s="3990"/>
      <c r="F50" s="4127"/>
      <c r="G50" s="334"/>
      <c r="H50" s="1424"/>
      <c r="I50" s="585"/>
      <c r="J50" s="505"/>
      <c r="K50" s="1424"/>
      <c r="L50" s="149"/>
      <c r="M50" s="3936"/>
      <c r="N50" s="269"/>
      <c r="O50" s="1548"/>
      <c r="P50" s="1548"/>
      <c r="AH50" s="1555">
        <v>0</v>
      </c>
    </row>
    <row r="51" spans="1:34" s="1559" customFormat="1" ht="18.75" hidden="1" customHeight="1">
      <c r="A51" s="1676" t="s">
        <v>433</v>
      </c>
      <c r="B51" s="1676" t="s">
        <v>434</v>
      </c>
      <c r="C51" s="303"/>
      <c r="D51" s="4189"/>
      <c r="E51" s="3990"/>
      <c r="F51" s="4127" t="str">
        <f>INDEX(PT_DIFFERENTIATION_VTAR,MATCH(A51,PT_DIFFERENTIATION_VTAR_ID,0))</f>
        <v>Тариф на питьевую воду (питьевое водоснабжение)</v>
      </c>
      <c r="G51" s="4164" t="str">
        <f>INDEX(PT_DIFFERENTIATION_NTAR,MATCH(B51,PT_DIFFERENTIATION_NTAR_ID,0))</f>
        <v/>
      </c>
      <c r="H51" s="1757"/>
      <c r="I51" s="1635"/>
      <c r="J51" s="1669"/>
      <c r="K51" s="1760"/>
      <c r="L51" s="1757" t="s">
        <v>514</v>
      </c>
      <c r="M51" s="3936"/>
      <c r="N51" s="269"/>
      <c r="O51" s="1548"/>
      <c r="P51" s="1548"/>
      <c r="AH51" s="1555">
        <v>0</v>
      </c>
    </row>
    <row r="52" spans="1:34" s="1559" customFormat="1" ht="18.75" hidden="1" customHeight="1">
      <c r="A52" s="1676"/>
      <c r="B52" s="1676"/>
      <c r="C52" s="303" t="s">
        <v>1352</v>
      </c>
      <c r="D52" s="4189"/>
      <c r="E52" s="3990"/>
      <c r="F52" s="4127"/>
      <c r="G52" s="4164"/>
      <c r="H52" s="1424"/>
      <c r="I52" s="585" t="s">
        <v>1353</v>
      </c>
      <c r="J52" s="505"/>
      <c r="K52" s="1424"/>
      <c r="L52" s="149"/>
      <c r="M52" s="3936"/>
      <c r="N52" s="269"/>
      <c r="O52" s="1548"/>
      <c r="P52" s="1548"/>
      <c r="AH52" s="1555">
        <v>0</v>
      </c>
    </row>
    <row r="53" spans="1:34" s="1559" customFormat="1" ht="0.75" hidden="1" customHeight="1">
      <c r="A53" s="1676"/>
      <c r="B53" s="1676"/>
      <c r="C53" s="303" t="s">
        <v>1358</v>
      </c>
      <c r="D53" s="4189"/>
      <c r="E53" s="3990"/>
      <c r="F53" s="4127"/>
      <c r="G53" s="334"/>
      <c r="H53" s="1424"/>
      <c r="I53" s="585"/>
      <c r="J53" s="505"/>
      <c r="K53" s="1424"/>
      <c r="L53" s="149"/>
      <c r="M53" s="3936"/>
      <c r="N53" s="269"/>
      <c r="O53" s="1548"/>
      <c r="P53" s="1548"/>
      <c r="AH53" s="1555">
        <v>0</v>
      </c>
    </row>
    <row r="54" spans="1:34" s="1559" customFormat="1" ht="18.75" hidden="1" customHeight="1">
      <c r="A54" s="1676" t="s">
        <v>438</v>
      </c>
      <c r="B54" s="1676" t="s">
        <v>439</v>
      </c>
      <c r="C54" s="303"/>
      <c r="D54" s="4189"/>
      <c r="E54" s="3990"/>
      <c r="F54" s="4127" t="str">
        <f>INDEX(PT_DIFFERENTIATION_VTAR,MATCH(A54,PT_DIFFERENTIATION_VTAR_ID,0))</f>
        <v>Тариф на техническую воду</v>
      </c>
      <c r="G54" s="4164" t="str">
        <f>INDEX(PT_DIFFERENTIATION_NTAR,MATCH(B54,PT_DIFFERENTIATION_NTAR_ID,0))</f>
        <v/>
      </c>
      <c r="H54" s="1757"/>
      <c r="I54" s="1635"/>
      <c r="J54" s="1669"/>
      <c r="K54" s="1760"/>
      <c r="L54" s="1757" t="s">
        <v>514</v>
      </c>
      <c r="M54" s="3936"/>
      <c r="N54" s="269"/>
      <c r="O54" s="1548"/>
      <c r="P54" s="1548"/>
      <c r="AH54" s="1555">
        <v>0</v>
      </c>
    </row>
    <row r="55" spans="1:34" s="1559" customFormat="1" ht="18.75" hidden="1" customHeight="1">
      <c r="A55" s="1676"/>
      <c r="B55" s="1676"/>
      <c r="C55" s="303" t="s">
        <v>1352</v>
      </c>
      <c r="D55" s="4189"/>
      <c r="E55" s="3990"/>
      <c r="F55" s="4127"/>
      <c r="G55" s="4164"/>
      <c r="H55" s="1424"/>
      <c r="I55" s="585" t="s">
        <v>1353</v>
      </c>
      <c r="J55" s="505"/>
      <c r="K55" s="1424"/>
      <c r="L55" s="149"/>
      <c r="M55" s="3936"/>
      <c r="N55" s="269"/>
      <c r="O55" s="1548"/>
      <c r="P55" s="1548"/>
      <c r="AH55" s="1555">
        <v>0</v>
      </c>
    </row>
    <row r="56" spans="1:34" s="1559" customFormat="1" ht="0.75" hidden="1" customHeight="1">
      <c r="A56" s="1676"/>
      <c r="B56" s="1676"/>
      <c r="C56" s="303" t="s">
        <v>1358</v>
      </c>
      <c r="D56" s="4189"/>
      <c r="E56" s="3990"/>
      <c r="F56" s="4127"/>
      <c r="G56" s="334"/>
      <c r="H56" s="1424"/>
      <c r="I56" s="585"/>
      <c r="J56" s="505"/>
      <c r="K56" s="1424"/>
      <c r="L56" s="149"/>
      <c r="M56" s="3936"/>
      <c r="N56" s="269"/>
      <c r="O56" s="1548"/>
      <c r="P56" s="1548"/>
      <c r="AH56" s="1555">
        <v>0</v>
      </c>
    </row>
    <row r="57" spans="1:34" s="1559" customFormat="1" ht="18.75" hidden="1" customHeight="1">
      <c r="A57" s="1676" t="s">
        <v>443</v>
      </c>
      <c r="B57" s="1676" t="s">
        <v>444</v>
      </c>
      <c r="C57" s="303"/>
      <c r="D57" s="4189"/>
      <c r="E57" s="3990"/>
      <c r="F57" s="4127" t="str">
        <f>INDEX(PT_DIFFERENTIATION_VTAR,MATCH(A57,PT_DIFFERENTIATION_VTAR_ID,0))</f>
        <v>Тариф на транспортировку воды</v>
      </c>
      <c r="G57" s="4164" t="str">
        <f>INDEX(PT_DIFFERENTIATION_NTAR,MATCH(B57,PT_DIFFERENTIATION_NTAR_ID,0))</f>
        <v/>
      </c>
      <c r="H57" s="1757"/>
      <c r="I57" s="1635"/>
      <c r="J57" s="1669"/>
      <c r="K57" s="1760"/>
      <c r="L57" s="1757" t="s">
        <v>514</v>
      </c>
      <c r="M57" s="3936"/>
      <c r="N57" s="269"/>
      <c r="O57" s="1548"/>
      <c r="P57" s="1548"/>
      <c r="AH57" s="1555">
        <v>0</v>
      </c>
    </row>
    <row r="58" spans="1:34" s="1559" customFormat="1" ht="18.75" hidden="1" customHeight="1">
      <c r="A58" s="1676"/>
      <c r="B58" s="1676"/>
      <c r="C58" s="303" t="s">
        <v>1352</v>
      </c>
      <c r="D58" s="4189"/>
      <c r="E58" s="3990"/>
      <c r="F58" s="4127"/>
      <c r="G58" s="4164"/>
      <c r="H58" s="1424"/>
      <c r="I58" s="585" t="s">
        <v>1353</v>
      </c>
      <c r="J58" s="505"/>
      <c r="K58" s="1424"/>
      <c r="L58" s="149"/>
      <c r="M58" s="3936"/>
      <c r="N58" s="269"/>
      <c r="O58" s="1548"/>
      <c r="P58" s="1548"/>
      <c r="AH58" s="1555">
        <v>0</v>
      </c>
    </row>
    <row r="59" spans="1:34" s="1559" customFormat="1" ht="0.75" hidden="1" customHeight="1">
      <c r="A59" s="1676"/>
      <c r="B59" s="1676"/>
      <c r="C59" s="303" t="s">
        <v>1358</v>
      </c>
      <c r="D59" s="4189"/>
      <c r="E59" s="3990"/>
      <c r="F59" s="4127"/>
      <c r="G59" s="334"/>
      <c r="H59" s="1424"/>
      <c r="I59" s="585"/>
      <c r="J59" s="505"/>
      <c r="K59" s="1424"/>
      <c r="L59" s="149"/>
      <c r="M59" s="3936"/>
      <c r="N59" s="269"/>
      <c r="O59" s="1548"/>
      <c r="P59" s="1548"/>
      <c r="AH59" s="1555">
        <v>0</v>
      </c>
    </row>
    <row r="60" spans="1:34" s="1559" customFormat="1" ht="18.75" hidden="1" customHeight="1">
      <c r="A60" s="1676" t="s">
        <v>448</v>
      </c>
      <c r="B60" s="1676" t="s">
        <v>449</v>
      </c>
      <c r="C60" s="303"/>
      <c r="D60" s="4189"/>
      <c r="E60" s="3990"/>
      <c r="F60" s="4127" t="str">
        <f>INDEX(PT_DIFFERENTIATION_VTAR,MATCH(A60,PT_DIFFERENTIATION_VTAR_ID,0))</f>
        <v>Тариф на подвоз воды</v>
      </c>
      <c r="G60" s="4164" t="str">
        <f>INDEX(PT_DIFFERENTIATION_NTAR,MATCH(B60,PT_DIFFERENTIATION_NTAR_ID,0))</f>
        <v/>
      </c>
      <c r="H60" s="1757"/>
      <c r="I60" s="1635"/>
      <c r="J60" s="1669"/>
      <c r="K60" s="1760"/>
      <c r="L60" s="1757" t="s">
        <v>514</v>
      </c>
      <c r="M60" s="3936"/>
      <c r="N60" s="269"/>
      <c r="O60" s="1548"/>
      <c r="P60" s="1548"/>
      <c r="AH60" s="1555">
        <v>0</v>
      </c>
    </row>
    <row r="61" spans="1:34" s="1559" customFormat="1" ht="18.75" hidden="1" customHeight="1">
      <c r="A61" s="1676"/>
      <c r="B61" s="1676"/>
      <c r="C61" s="303" t="s">
        <v>1352</v>
      </c>
      <c r="D61" s="4189"/>
      <c r="E61" s="3990"/>
      <c r="F61" s="4127"/>
      <c r="G61" s="4164"/>
      <c r="H61" s="1424"/>
      <c r="I61" s="585" t="s">
        <v>1353</v>
      </c>
      <c r="J61" s="505"/>
      <c r="K61" s="1424"/>
      <c r="L61" s="149"/>
      <c r="M61" s="3936"/>
      <c r="N61" s="269"/>
      <c r="O61" s="1548"/>
      <c r="P61" s="1548"/>
      <c r="AH61" s="1555">
        <v>0</v>
      </c>
    </row>
    <row r="62" spans="1:34" s="1559" customFormat="1" ht="0.75" hidden="1" customHeight="1">
      <c r="A62" s="1676"/>
      <c r="B62" s="1676"/>
      <c r="C62" s="303" t="s">
        <v>1358</v>
      </c>
      <c r="D62" s="4189"/>
      <c r="E62" s="3990"/>
      <c r="F62" s="4127"/>
      <c r="G62" s="334"/>
      <c r="H62" s="1424"/>
      <c r="I62" s="585"/>
      <c r="J62" s="505"/>
      <c r="K62" s="1424"/>
      <c r="L62" s="149"/>
      <c r="M62" s="3936"/>
      <c r="N62" s="269"/>
      <c r="O62" s="1548"/>
      <c r="P62" s="1548"/>
      <c r="AH62" s="1555">
        <v>0</v>
      </c>
    </row>
    <row r="63" spans="1:34" s="1559" customFormat="1" ht="18.75" hidden="1" customHeight="1">
      <c r="A63" s="1676" t="s">
        <v>453</v>
      </c>
      <c r="B63" s="1676" t="s">
        <v>454</v>
      </c>
      <c r="C63" s="303"/>
      <c r="D63" s="4189"/>
      <c r="E63" s="3990"/>
      <c r="F63" s="4127" t="str">
        <f>INDEX(PT_DIFFERENTIATION_VTAR,MATCH(A63,PT_DIFFERENTIATION_VTAR_ID,0))</f>
        <v>Тариф на подключение (технологическое присоединение) к централизованной системе холодного водоснабжения</v>
      </c>
      <c r="G63" s="4164" t="str">
        <f>INDEX(PT_DIFFERENTIATION_NTAR,MATCH(B63,PT_DIFFERENTIATION_NTAR_ID,0))</f>
        <v/>
      </c>
      <c r="H63" s="1757"/>
      <c r="I63" s="1635"/>
      <c r="J63" s="1669"/>
      <c r="K63" s="1760"/>
      <c r="L63" s="1757" t="s">
        <v>514</v>
      </c>
      <c r="M63" s="3936"/>
      <c r="N63" s="269"/>
      <c r="O63" s="1548"/>
      <c r="P63" s="1548"/>
      <c r="AH63" s="1555">
        <v>0</v>
      </c>
    </row>
    <row r="64" spans="1:34" s="1559" customFormat="1" ht="18.75" hidden="1" customHeight="1">
      <c r="A64" s="1676"/>
      <c r="B64" s="1676"/>
      <c r="C64" s="303" t="s">
        <v>1352</v>
      </c>
      <c r="D64" s="4189"/>
      <c r="E64" s="3990"/>
      <c r="F64" s="4127"/>
      <c r="G64" s="4164"/>
      <c r="H64" s="1424"/>
      <c r="I64" s="585" t="s">
        <v>1353</v>
      </c>
      <c r="J64" s="505"/>
      <c r="K64" s="1424"/>
      <c r="L64" s="149"/>
      <c r="M64" s="3936"/>
      <c r="N64" s="269"/>
      <c r="O64" s="1548"/>
      <c r="P64" s="1548"/>
      <c r="AH64" s="1555">
        <v>0</v>
      </c>
    </row>
    <row r="65" spans="1:34" s="1559" customFormat="1" ht="0.75" hidden="1" customHeight="1">
      <c r="A65" s="1676"/>
      <c r="B65" s="1676"/>
      <c r="C65" s="303" t="s">
        <v>1358</v>
      </c>
      <c r="D65" s="4189"/>
      <c r="E65" s="3990"/>
      <c r="F65" s="4127"/>
      <c r="G65" s="334"/>
      <c r="H65" s="1424"/>
      <c r="I65" s="585"/>
      <c r="J65" s="505"/>
      <c r="K65" s="1424"/>
      <c r="L65" s="149"/>
      <c r="M65" s="3936"/>
      <c r="N65" s="269"/>
      <c r="O65" s="1548"/>
      <c r="P65" s="1548"/>
      <c r="AH65" s="1555">
        <v>0</v>
      </c>
    </row>
    <row r="66" spans="1:34" s="1559" customFormat="1" ht="18.75" hidden="1" customHeight="1">
      <c r="A66" s="1676" t="s">
        <v>458</v>
      </c>
      <c r="B66" s="1676" t="s">
        <v>459</v>
      </c>
      <c r="C66" s="303"/>
      <c r="D66" s="4189"/>
      <c r="E66" s="3990"/>
      <c r="F66" s="4127" t="str">
        <f>INDEX(PT_DIFFERENTIATION_VTAR,MATCH(A66,PT_DIFFERENTIATION_VTAR_ID,0))</f>
        <v>Тариф на горячую воду (горячее водоснабжение)</v>
      </c>
      <c r="G66" s="4164" t="str">
        <f>INDEX(PT_DIFFERENTIATION_NTAR,MATCH(B66,PT_DIFFERENTIATION_NTAR_ID,0))</f>
        <v/>
      </c>
      <c r="H66" s="1757"/>
      <c r="I66" s="1635"/>
      <c r="J66" s="1669"/>
      <c r="K66" s="1760"/>
      <c r="L66" s="1757" t="s">
        <v>514</v>
      </c>
      <c r="M66" s="3936"/>
      <c r="N66" s="269"/>
      <c r="O66" s="1548"/>
      <c r="P66" s="1548"/>
      <c r="AH66" s="1555">
        <v>0</v>
      </c>
    </row>
    <row r="67" spans="1:34" s="1559" customFormat="1" ht="18.75" hidden="1" customHeight="1">
      <c r="A67" s="1676"/>
      <c r="B67" s="1676"/>
      <c r="C67" s="303" t="s">
        <v>1352</v>
      </c>
      <c r="D67" s="4189"/>
      <c r="E67" s="3990"/>
      <c r="F67" s="4127"/>
      <c r="G67" s="4164"/>
      <c r="H67" s="1424"/>
      <c r="I67" s="585" t="s">
        <v>1353</v>
      </c>
      <c r="J67" s="505"/>
      <c r="K67" s="1424"/>
      <c r="L67" s="149"/>
      <c r="M67" s="3936"/>
      <c r="N67" s="269"/>
      <c r="O67" s="1548"/>
      <c r="P67" s="1548"/>
      <c r="AH67" s="1555">
        <v>0</v>
      </c>
    </row>
    <row r="68" spans="1:34" s="1559" customFormat="1" ht="0.75" hidden="1" customHeight="1">
      <c r="A68" s="1676"/>
      <c r="B68" s="1676"/>
      <c r="C68" s="303" t="s">
        <v>1358</v>
      </c>
      <c r="D68" s="4189"/>
      <c r="E68" s="3990"/>
      <c r="F68" s="4127"/>
      <c r="G68" s="334"/>
      <c r="H68" s="1424"/>
      <c r="I68" s="585"/>
      <c r="J68" s="505"/>
      <c r="K68" s="1424"/>
      <c r="L68" s="149"/>
      <c r="M68" s="3936"/>
      <c r="N68" s="269"/>
      <c r="O68" s="1548"/>
      <c r="P68" s="1548"/>
      <c r="AH68" s="1555">
        <v>0</v>
      </c>
    </row>
    <row r="69" spans="1:34" s="1559" customFormat="1" ht="18.75" hidden="1" customHeight="1">
      <c r="A69" s="1676" t="s">
        <v>463</v>
      </c>
      <c r="B69" s="1676" t="s">
        <v>464</v>
      </c>
      <c r="C69" s="303"/>
      <c r="D69" s="4189"/>
      <c r="E69" s="3990"/>
      <c r="F69" s="4127" t="str">
        <f>INDEX(PT_DIFFERENTIATION_VTAR,MATCH(A69,PT_DIFFERENTIATION_VTAR_ID,0))</f>
        <v>Тариф на транспортировку горячей воды</v>
      </c>
      <c r="G69" s="4164" t="str">
        <f>INDEX(PT_DIFFERENTIATION_NTAR,MATCH(B69,PT_DIFFERENTIATION_NTAR_ID,0))</f>
        <v/>
      </c>
      <c r="H69" s="1757"/>
      <c r="I69" s="1635"/>
      <c r="J69" s="1669"/>
      <c r="K69" s="1760"/>
      <c r="L69" s="1757" t="s">
        <v>514</v>
      </c>
      <c r="M69" s="3936"/>
      <c r="N69" s="269"/>
      <c r="O69" s="1548"/>
      <c r="P69" s="1548"/>
      <c r="AH69" s="1555">
        <v>0</v>
      </c>
    </row>
    <row r="70" spans="1:34" s="1559" customFormat="1" ht="18.75" hidden="1" customHeight="1">
      <c r="A70" s="1676"/>
      <c r="B70" s="1676"/>
      <c r="C70" s="303" t="s">
        <v>1352</v>
      </c>
      <c r="D70" s="4189"/>
      <c r="E70" s="3990"/>
      <c r="F70" s="4127"/>
      <c r="G70" s="4164"/>
      <c r="H70" s="1424"/>
      <c r="I70" s="585" t="s">
        <v>1353</v>
      </c>
      <c r="J70" s="505"/>
      <c r="K70" s="1424"/>
      <c r="L70" s="149"/>
      <c r="M70" s="3936"/>
      <c r="N70" s="269"/>
      <c r="O70" s="1548"/>
      <c r="P70" s="1548"/>
      <c r="AH70" s="1555">
        <v>0</v>
      </c>
    </row>
    <row r="71" spans="1:34" s="1559" customFormat="1" ht="0.75" hidden="1" customHeight="1">
      <c r="A71" s="1676"/>
      <c r="B71" s="1676"/>
      <c r="C71" s="303" t="s">
        <v>1358</v>
      </c>
      <c r="D71" s="4189"/>
      <c r="E71" s="3990"/>
      <c r="F71" s="4127"/>
      <c r="G71" s="334"/>
      <c r="H71" s="1424"/>
      <c r="I71" s="585"/>
      <c r="J71" s="505"/>
      <c r="K71" s="1424"/>
      <c r="L71" s="149"/>
      <c r="M71" s="3936"/>
      <c r="N71" s="269"/>
      <c r="O71" s="1548"/>
      <c r="P71" s="1548"/>
      <c r="AH71" s="1555">
        <v>0</v>
      </c>
    </row>
    <row r="72" spans="1:34" s="1559" customFormat="1" ht="18.75" hidden="1" customHeight="1">
      <c r="A72" s="1676" t="s">
        <v>468</v>
      </c>
      <c r="B72" s="1676" t="s">
        <v>469</v>
      </c>
      <c r="C72" s="303"/>
      <c r="D72" s="4189"/>
      <c r="E72" s="3990"/>
      <c r="F72" s="4127" t="str">
        <f>INDEX(PT_DIFFERENTIATION_VTAR,MATCH(A72,PT_DIFFERENTIATION_VTAR_ID,0))</f>
        <v>Тариф на подключение (технологическое присоединение) к централизованной системе горячего водоснабжения</v>
      </c>
      <c r="G72" s="4164" t="str">
        <f>INDEX(PT_DIFFERENTIATION_NTAR,MATCH(B72,PT_DIFFERENTIATION_NTAR_ID,0))</f>
        <v/>
      </c>
      <c r="H72" s="1757"/>
      <c r="I72" s="1635"/>
      <c r="J72" s="1669"/>
      <c r="K72" s="1760"/>
      <c r="L72" s="1757" t="s">
        <v>514</v>
      </c>
      <c r="M72" s="3936"/>
      <c r="N72" s="269"/>
      <c r="O72" s="1548"/>
      <c r="P72" s="1548"/>
      <c r="AH72" s="1555">
        <v>0</v>
      </c>
    </row>
    <row r="73" spans="1:34" s="1559" customFormat="1" ht="18.75" hidden="1" customHeight="1">
      <c r="A73" s="1676"/>
      <c r="B73" s="1676"/>
      <c r="C73" s="303" t="s">
        <v>1352</v>
      </c>
      <c r="D73" s="4189"/>
      <c r="E73" s="3990"/>
      <c r="F73" s="4127"/>
      <c r="G73" s="4164"/>
      <c r="H73" s="1424"/>
      <c r="I73" s="585" t="s">
        <v>1353</v>
      </c>
      <c r="J73" s="505"/>
      <c r="K73" s="1424"/>
      <c r="L73" s="149"/>
      <c r="M73" s="3936"/>
      <c r="N73" s="269"/>
      <c r="O73" s="1548"/>
      <c r="P73" s="1548"/>
      <c r="AH73" s="1555">
        <v>0</v>
      </c>
    </row>
    <row r="74" spans="1:34" s="1559" customFormat="1" ht="0.75" hidden="1" customHeight="1">
      <c r="A74" s="1676"/>
      <c r="B74" s="1676"/>
      <c r="C74" s="303" t="s">
        <v>1358</v>
      </c>
      <c r="D74" s="4189"/>
      <c r="E74" s="3990"/>
      <c r="F74" s="4127"/>
      <c r="G74" s="334"/>
      <c r="H74" s="1424"/>
      <c r="I74" s="585"/>
      <c r="J74" s="505"/>
      <c r="K74" s="1424"/>
      <c r="L74" s="149"/>
      <c r="M74" s="3936"/>
      <c r="N74" s="269"/>
      <c r="O74" s="1548"/>
      <c r="P74" s="1548"/>
      <c r="AH74" s="1555">
        <v>0</v>
      </c>
    </row>
    <row r="75" spans="1:34" s="1559" customFormat="1" ht="18.75" hidden="1" customHeight="1">
      <c r="A75" s="1676" t="s">
        <v>473</v>
      </c>
      <c r="B75" s="1676" t="s">
        <v>474</v>
      </c>
      <c r="C75" s="303"/>
      <c r="D75" s="4189"/>
      <c r="E75" s="3990"/>
      <c r="F75" s="4127" t="str">
        <f>INDEX(PT_DIFFERENTIATION_VTAR,MATCH(A75,PT_DIFFERENTIATION_VTAR_ID,0))</f>
        <v>Тариф на водоотведение</v>
      </c>
      <c r="G75" s="4164" t="str">
        <f>INDEX(PT_DIFFERENTIATION_NTAR,MATCH(B75,PT_DIFFERENTIATION_NTAR_ID,0))</f>
        <v/>
      </c>
      <c r="H75" s="1757"/>
      <c r="I75" s="1635"/>
      <c r="J75" s="1669"/>
      <c r="K75" s="1760"/>
      <c r="L75" s="1757" t="s">
        <v>514</v>
      </c>
      <c r="M75" s="3936"/>
      <c r="N75" s="269"/>
      <c r="O75" s="1548"/>
      <c r="P75" s="1548"/>
      <c r="AH75" s="1555">
        <v>0</v>
      </c>
    </row>
    <row r="76" spans="1:34" s="1559" customFormat="1" ht="18.75" hidden="1" customHeight="1">
      <c r="A76" s="1676"/>
      <c r="B76" s="1676"/>
      <c r="C76" s="303" t="s">
        <v>1352</v>
      </c>
      <c r="D76" s="4189"/>
      <c r="E76" s="3990"/>
      <c r="F76" s="4127"/>
      <c r="G76" s="4164"/>
      <c r="H76" s="1424"/>
      <c r="I76" s="585" t="s">
        <v>1353</v>
      </c>
      <c r="J76" s="505"/>
      <c r="K76" s="1424"/>
      <c r="L76" s="149"/>
      <c r="M76" s="3936"/>
      <c r="N76" s="269"/>
      <c r="O76" s="1548"/>
      <c r="P76" s="1548"/>
      <c r="AH76" s="1555">
        <v>0</v>
      </c>
    </row>
    <row r="77" spans="1:34" s="1559" customFormat="1" ht="0.75" hidden="1" customHeight="1">
      <c r="A77" s="1676"/>
      <c r="B77" s="1676"/>
      <c r="C77" s="303" t="s">
        <v>1358</v>
      </c>
      <c r="D77" s="4189"/>
      <c r="E77" s="3990"/>
      <c r="F77" s="4127"/>
      <c r="G77" s="334"/>
      <c r="H77" s="1424"/>
      <c r="I77" s="585"/>
      <c r="J77" s="505"/>
      <c r="K77" s="1424"/>
      <c r="L77" s="149"/>
      <c r="M77" s="3936"/>
      <c r="N77" s="269"/>
      <c r="O77" s="1548"/>
      <c r="P77" s="1548"/>
      <c r="AH77" s="1555">
        <v>0</v>
      </c>
    </row>
    <row r="78" spans="1:34" s="1559" customFormat="1" ht="18.75" hidden="1" customHeight="1">
      <c r="A78" s="1676" t="s">
        <v>478</v>
      </c>
      <c r="B78" s="1676" t="s">
        <v>479</v>
      </c>
      <c r="C78" s="303"/>
      <c r="D78" s="4189"/>
      <c r="E78" s="3990"/>
      <c r="F78" s="4127" t="str">
        <f>INDEX(PT_DIFFERENTIATION_VTAR,MATCH(A78,PT_DIFFERENTIATION_VTAR_ID,0))</f>
        <v>Тариф на транспортировку сточных вод</v>
      </c>
      <c r="G78" s="4164" t="str">
        <f>INDEX(PT_DIFFERENTIATION_NTAR,MATCH(B78,PT_DIFFERENTIATION_NTAR_ID,0))</f>
        <v/>
      </c>
      <c r="H78" s="1757"/>
      <c r="I78" s="1635"/>
      <c r="J78" s="1669"/>
      <c r="K78" s="1760"/>
      <c r="L78" s="1757" t="s">
        <v>514</v>
      </c>
      <c r="M78" s="3936"/>
      <c r="N78" s="269"/>
      <c r="O78" s="1548"/>
      <c r="P78" s="1548"/>
      <c r="AH78" s="1555">
        <v>0</v>
      </c>
    </row>
    <row r="79" spans="1:34" s="1559" customFormat="1" ht="18.75" hidden="1" customHeight="1">
      <c r="A79" s="1676"/>
      <c r="B79" s="1676"/>
      <c r="C79" s="303" t="s">
        <v>1352</v>
      </c>
      <c r="D79" s="4189"/>
      <c r="E79" s="3990"/>
      <c r="F79" s="4127"/>
      <c r="G79" s="4164"/>
      <c r="H79" s="1424"/>
      <c r="I79" s="585" t="s">
        <v>1353</v>
      </c>
      <c r="J79" s="505"/>
      <c r="K79" s="1424"/>
      <c r="L79" s="149"/>
      <c r="M79" s="3936"/>
      <c r="N79" s="269"/>
      <c r="O79" s="1548"/>
      <c r="P79" s="1548"/>
      <c r="AH79" s="1555">
        <v>0</v>
      </c>
    </row>
    <row r="80" spans="1:34" s="1559" customFormat="1" ht="0.75" hidden="1" customHeight="1">
      <c r="A80" s="1676"/>
      <c r="B80" s="1676"/>
      <c r="C80" s="303" t="s">
        <v>1358</v>
      </c>
      <c r="D80" s="4189"/>
      <c r="E80" s="3990"/>
      <c r="F80" s="4127"/>
      <c r="G80" s="334"/>
      <c r="H80" s="1424"/>
      <c r="I80" s="585"/>
      <c r="J80" s="505"/>
      <c r="K80" s="1424"/>
      <c r="L80" s="149"/>
      <c r="M80" s="3936"/>
      <c r="N80" s="269"/>
      <c r="O80" s="1548"/>
      <c r="P80" s="1548"/>
      <c r="AH80" s="1555">
        <v>0</v>
      </c>
    </row>
    <row r="81" spans="1:34" s="1559" customFormat="1" ht="18.75" hidden="1" customHeight="1">
      <c r="A81" s="1676" t="s">
        <v>483</v>
      </c>
      <c r="B81" s="1676" t="s">
        <v>484</v>
      </c>
      <c r="C81" s="303"/>
      <c r="D81" s="4189"/>
      <c r="E81" s="3990"/>
      <c r="F81" s="4127" t="str">
        <f>INDEX(PT_DIFFERENTIATION_VTAR,MATCH(A81,PT_DIFFERENTIATION_VTAR_ID,0))</f>
        <v>Тариф на подключение (технологическое присоединение) к централизованной системе водоотведения</v>
      </c>
      <c r="G81" s="4164" t="str">
        <f>INDEX(PT_DIFFERENTIATION_NTAR,MATCH(B81,PT_DIFFERENTIATION_NTAR_ID,0))</f>
        <v/>
      </c>
      <c r="H81" s="1757"/>
      <c r="I81" s="1635"/>
      <c r="J81" s="1669"/>
      <c r="K81" s="1760"/>
      <c r="L81" s="1757" t="s">
        <v>514</v>
      </c>
      <c r="M81" s="3936"/>
      <c r="N81" s="269"/>
      <c r="O81" s="1548"/>
      <c r="P81" s="1548"/>
      <c r="AH81" s="1555">
        <v>0</v>
      </c>
    </row>
    <row r="82" spans="1:34" s="1559" customFormat="1" ht="18.75" hidden="1" customHeight="1">
      <c r="A82" s="1676"/>
      <c r="B82" s="1676"/>
      <c r="C82" s="303" t="s">
        <v>1352</v>
      </c>
      <c r="D82" s="4189"/>
      <c r="E82" s="3990"/>
      <c r="F82" s="4127"/>
      <c r="G82" s="4164"/>
      <c r="H82" s="1424"/>
      <c r="I82" s="585" t="s">
        <v>1353</v>
      </c>
      <c r="J82" s="505"/>
      <c r="K82" s="1424"/>
      <c r="L82" s="149"/>
      <c r="M82" s="3936"/>
      <c r="N82" s="269"/>
      <c r="O82" s="1548"/>
      <c r="P82" s="1548"/>
      <c r="AH82" s="1555">
        <v>0</v>
      </c>
    </row>
    <row r="83" spans="1:34" s="1559" customFormat="1" ht="1.1499999999999999" customHeight="1">
      <c r="A83" s="1676"/>
      <c r="B83" s="1676"/>
      <c r="C83" s="303" t="s">
        <v>1358</v>
      </c>
      <c r="D83" s="4189"/>
      <c r="E83" s="3990"/>
      <c r="F83" s="4127"/>
      <c r="G83" s="334"/>
      <c r="H83" s="1424"/>
      <c r="I83" s="585"/>
      <c r="J83" s="505"/>
      <c r="K83" s="1424"/>
      <c r="L83" s="149"/>
      <c r="M83" s="3936"/>
      <c r="N83" s="269"/>
      <c r="O83" s="1548"/>
      <c r="P83" s="1548"/>
      <c r="AH83" s="1555">
        <v>1</v>
      </c>
    </row>
    <row r="84" spans="1:34" ht="19.899999999999999" customHeight="1">
      <c r="A84" s="1676"/>
      <c r="B84" s="1676"/>
      <c r="D84" s="310"/>
      <c r="E84" s="83" t="s">
        <v>89</v>
      </c>
      <c r="F84" s="418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4188"/>
      <c r="H84" s="4188"/>
      <c r="I84" s="4188"/>
      <c r="J84" s="4188"/>
      <c r="K84" s="4188"/>
      <c r="L84" s="4188"/>
      <c r="M84" s="232"/>
      <c r="N84" s="269"/>
      <c r="AH84" s="308">
        <v>19</v>
      </c>
    </row>
    <row r="85" spans="1:34" ht="36" customHeight="1">
      <c r="A85" s="1676"/>
      <c r="B85" s="1676"/>
      <c r="D85" s="310"/>
      <c r="E85" s="333"/>
      <c r="F85" s="133" t="s">
        <v>514</v>
      </c>
      <c r="G85" s="133" t="s">
        <v>514</v>
      </c>
      <c r="H85" s="4000" t="s">
        <v>514</v>
      </c>
      <c r="I85" s="4013"/>
      <c r="J85" s="133" t="s">
        <v>514</v>
      </c>
      <c r="K85" s="133" t="s">
        <v>514</v>
      </c>
      <c r="L85" s="3783" t="s">
        <v>1360</v>
      </c>
      <c r="M85" s="280" t="s">
        <v>1361</v>
      </c>
      <c r="N85" s="269"/>
      <c r="AH85" s="308">
        <v>34</v>
      </c>
    </row>
    <row r="86" spans="1:34" ht="19.899999999999999" customHeight="1">
      <c r="A86" s="1676"/>
      <c r="B86" s="1676"/>
      <c r="D86" s="310"/>
      <c r="E86" s="83" t="s">
        <v>77</v>
      </c>
      <c r="F86" s="4188" t="s">
        <v>1362</v>
      </c>
      <c r="G86" s="4188"/>
      <c r="H86" s="4188"/>
      <c r="I86" s="4188"/>
      <c r="J86" s="4188"/>
      <c r="K86" s="4188"/>
      <c r="L86" s="4188"/>
      <c r="M86" s="232"/>
      <c r="N86" s="269"/>
      <c r="AH86" s="308">
        <v>19</v>
      </c>
    </row>
    <row r="87" spans="1:34" s="1559" customFormat="1" ht="60.75" hidden="1" customHeight="1">
      <c r="A87" s="1676" t="s">
        <v>221</v>
      </c>
      <c r="B87" s="1676" t="s">
        <v>222</v>
      </c>
      <c r="C87" s="303"/>
      <c r="D87" s="4189"/>
      <c r="E87" s="3990"/>
      <c r="F87" s="412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4164" t="str">
        <f>INDEX(PT_DIFFERENTIATION_NTAR,MATCH(B87,PT_DIFFERENTIATION_NTAR_ID,0))</f>
        <v/>
      </c>
      <c r="H87" s="1757"/>
      <c r="I87" s="1635"/>
      <c r="J87" s="1669"/>
      <c r="K87" s="1674"/>
      <c r="L87" s="1757" t="s">
        <v>514</v>
      </c>
      <c r="M87" s="39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8"/>
      <c r="P87" s="1548"/>
      <c r="AH87" s="1555">
        <v>0</v>
      </c>
    </row>
    <row r="88" spans="1:34" s="1559" customFormat="1" ht="18.75" hidden="1" customHeight="1">
      <c r="A88" s="1676"/>
      <c r="B88" s="1676"/>
      <c r="C88" s="303" t="s">
        <v>1354</v>
      </c>
      <c r="D88" s="4189"/>
      <c r="E88" s="3990"/>
      <c r="F88" s="4127"/>
      <c r="G88" s="4164"/>
      <c r="H88" s="1424"/>
      <c r="I88" s="585" t="s">
        <v>1353</v>
      </c>
      <c r="J88" s="505"/>
      <c r="K88" s="1424"/>
      <c r="L88" s="149"/>
      <c r="M88" s="3936"/>
      <c r="N88" s="269"/>
      <c r="O88" s="1548"/>
      <c r="P88" s="1548"/>
      <c r="AH88" s="1555">
        <v>0</v>
      </c>
    </row>
    <row r="89" spans="1:34" s="1559" customFormat="1" ht="0.75" hidden="1" customHeight="1">
      <c r="A89" s="1676"/>
      <c r="B89" s="1676"/>
      <c r="C89" s="303" t="s">
        <v>1363</v>
      </c>
      <c r="D89" s="4189"/>
      <c r="E89" s="3990"/>
      <c r="F89" s="4127"/>
      <c r="G89" s="334"/>
      <c r="H89" s="1424"/>
      <c r="I89" s="585"/>
      <c r="J89" s="505"/>
      <c r="K89" s="1424"/>
      <c r="L89" s="149"/>
      <c r="M89" s="3936"/>
      <c r="N89" s="269"/>
      <c r="O89" s="1548"/>
      <c r="P89" s="1548"/>
      <c r="AH89" s="1555">
        <v>0</v>
      </c>
    </row>
    <row r="90" spans="1:34" s="1559" customFormat="1" ht="45" customHeight="1">
      <c r="A90" s="1676" t="s">
        <v>230</v>
      </c>
      <c r="B90" s="1676" t="s">
        <v>231</v>
      </c>
      <c r="C90" s="303"/>
      <c r="D90" s="4189"/>
      <c r="E90" s="3990"/>
      <c r="F90" s="4127"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4164" t="str">
        <f>INDEX(PT_DIFFERENTIATION_NTAR,MATCH(B90,PT_DIFFERENTIATION_NTAR_ID,0))</f>
        <v>Тариф на тепловую энергию (мощность), поставляемую потребителям</v>
      </c>
      <c r="H90" s="1757"/>
      <c r="I90" s="1635">
        <v>46023.460925925923</v>
      </c>
      <c r="J90" s="1669">
        <v>46387.461006944446</v>
      </c>
      <c r="K90" s="1674">
        <v>5304886.4400000004</v>
      </c>
      <c r="L90" s="1757" t="s">
        <v>514</v>
      </c>
      <c r="M90" s="3937"/>
      <c r="N90" s="269"/>
      <c r="O90" s="1548"/>
      <c r="P90" s="1548"/>
      <c r="AH90" s="1555">
        <v>0</v>
      </c>
    </row>
    <row r="91" spans="1:34" s="1559" customFormat="1" ht="18.75" customHeight="1">
      <c r="A91" s="1676"/>
      <c r="B91" s="1676"/>
      <c r="C91" s="303" t="s">
        <v>1354</v>
      </c>
      <c r="D91" s="4189"/>
      <c r="E91" s="3990"/>
      <c r="F91" s="4127"/>
      <c r="G91" s="4164"/>
      <c r="H91" s="1424"/>
      <c r="I91" s="585" t="s">
        <v>1353</v>
      </c>
      <c r="J91" s="505"/>
      <c r="K91" s="1424"/>
      <c r="L91" s="149"/>
      <c r="M91" s="1756"/>
      <c r="N91" s="269"/>
      <c r="O91" s="1548"/>
      <c r="P91" s="1548"/>
      <c r="AH91" s="1555">
        <v>0</v>
      </c>
    </row>
    <row r="92" spans="1:34" s="1559" customFormat="1" ht="0.75" customHeight="1">
      <c r="A92" s="1676"/>
      <c r="B92" s="1676"/>
      <c r="C92" s="303" t="s">
        <v>1363</v>
      </c>
      <c r="D92" s="4189"/>
      <c r="E92" s="3990"/>
      <c r="F92" s="4127"/>
      <c r="G92" s="334"/>
      <c r="H92" s="1424"/>
      <c r="I92" s="585"/>
      <c r="J92" s="505"/>
      <c r="K92" s="1424"/>
      <c r="L92" s="149"/>
      <c r="M92" s="276"/>
      <c r="N92" s="269"/>
      <c r="O92" s="1548"/>
      <c r="P92" s="1548"/>
      <c r="AH92" s="1555">
        <v>0</v>
      </c>
    </row>
    <row r="93" spans="1:34" s="1559" customFormat="1" ht="45" customHeight="1">
      <c r="A93" s="1676" t="s">
        <v>292</v>
      </c>
      <c r="B93" s="1676" t="s">
        <v>293</v>
      </c>
      <c r="C93" s="303"/>
      <c r="D93" s="4189"/>
      <c r="E93" s="3990"/>
      <c r="F93" s="412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4164" t="str">
        <f>INDEX(PT_DIFFERENTIATION_NTAR,MATCH(B93,PT_DIFFERENTIATION_NTAR_ID,0))</f>
        <v>Тариф на теплоноситель, посталяемый потребителям</v>
      </c>
      <c r="H93" s="1757"/>
      <c r="I93" s="1635">
        <v>46023.461064814815</v>
      </c>
      <c r="J93" s="1669">
        <v>46387.461157407408</v>
      </c>
      <c r="K93" s="1674">
        <f>53.51*207.34+34.69*145.01+4.06*172.95+0.65*297.46+7.59*137.94+15.17*386.19+6.26*575.24+0.75*548.77+1.2*761.93+30.55*456.17+24.52*356.22+2.56*591.16+1.69*317.38+1.4*349.72+0.57*169.78+22.44*313.36+1.63*451.2+0.72*373.25+129.23*138.44+1.47*1035.32+1.04*476.86+1.42*384.47+1.79*264.31+148.38*287.98</f>
        <v>125853.66649999999</v>
      </c>
      <c r="L93" s="1757" t="s">
        <v>514</v>
      </c>
      <c r="M93" s="276"/>
      <c r="N93" s="269"/>
      <c r="O93" s="1548"/>
      <c r="P93" s="1548"/>
      <c r="AH93" s="1555">
        <v>0</v>
      </c>
    </row>
    <row r="94" spans="1:34" s="1559" customFormat="1" ht="18.75" customHeight="1">
      <c r="A94" s="1676"/>
      <c r="B94" s="1676"/>
      <c r="C94" s="303" t="s">
        <v>1354</v>
      </c>
      <c r="D94" s="4189"/>
      <c r="E94" s="3990"/>
      <c r="F94" s="4127"/>
      <c r="G94" s="4164"/>
      <c r="H94" s="1424"/>
      <c r="I94" s="585" t="s">
        <v>1353</v>
      </c>
      <c r="J94" s="505"/>
      <c r="K94" s="1424"/>
      <c r="L94" s="149"/>
      <c r="M94" s="276"/>
      <c r="N94" s="269"/>
      <c r="O94" s="1548"/>
      <c r="P94" s="1548"/>
      <c r="AH94" s="1555">
        <v>0</v>
      </c>
    </row>
    <row r="95" spans="1:34" s="1559" customFormat="1" ht="0.75" customHeight="1">
      <c r="A95" s="1676"/>
      <c r="B95" s="1676"/>
      <c r="C95" s="303" t="s">
        <v>1363</v>
      </c>
      <c r="D95" s="4189"/>
      <c r="E95" s="3990"/>
      <c r="F95" s="4127"/>
      <c r="G95" s="334"/>
      <c r="H95" s="1424"/>
      <c r="I95" s="585"/>
      <c r="J95" s="505"/>
      <c r="K95" s="1424"/>
      <c r="L95" s="149"/>
      <c r="M95" s="276"/>
      <c r="N95" s="269"/>
      <c r="O95" s="1548"/>
      <c r="P95" s="1548"/>
      <c r="AH95" s="1555">
        <v>0</v>
      </c>
    </row>
    <row r="96" spans="1:34" s="1559" customFormat="1" ht="45" customHeight="1">
      <c r="A96" s="1676" t="s">
        <v>383</v>
      </c>
      <c r="B96" s="1676" t="s">
        <v>384</v>
      </c>
      <c r="C96" s="303"/>
      <c r="D96" s="4189"/>
      <c r="E96" s="3990"/>
      <c r="F96" s="412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4164" t="str">
        <f>INDEX(PT_DIFFERENTIATION_NTAR,MATCH(B96,PT_DIFFERENTIATION_NTAR_ID,0))</f>
        <v>Тариф на горячую воду с использованиемоткрытой системы горячего водоснабжения</v>
      </c>
      <c r="H96" s="1757"/>
      <c r="I96" s="1635">
        <v>46357.46125</v>
      </c>
      <c r="J96" s="1669">
        <v>46387.461331018516</v>
      </c>
      <c r="K96" s="1674">
        <f>(0.06562*4757.65+287.98)*116.53</f>
        <v>69938.624994290003</v>
      </c>
      <c r="L96" s="1757" t="s">
        <v>514</v>
      </c>
      <c r="M96" s="276"/>
      <c r="N96" s="269"/>
      <c r="O96" s="1548"/>
      <c r="P96" s="1548"/>
      <c r="AH96" s="1555">
        <v>0</v>
      </c>
    </row>
    <row r="97" spans="1:34" s="1559" customFormat="1" ht="18.75" customHeight="1">
      <c r="A97" s="1676"/>
      <c r="B97" s="1676"/>
      <c r="C97" s="303" t="s">
        <v>1354</v>
      </c>
      <c r="D97" s="4189"/>
      <c r="E97" s="3990"/>
      <c r="F97" s="4127"/>
      <c r="G97" s="4164"/>
      <c r="H97" s="1424"/>
      <c r="I97" s="585" t="s">
        <v>1353</v>
      </c>
      <c r="J97" s="505"/>
      <c r="K97" s="1424"/>
      <c r="L97" s="149"/>
      <c r="M97" s="276"/>
      <c r="N97" s="269"/>
      <c r="O97" s="1548"/>
      <c r="P97" s="1548"/>
      <c r="AH97" s="1555">
        <v>0</v>
      </c>
    </row>
    <row r="98" spans="1:34" s="1559" customFormat="1" ht="0.75" customHeight="1">
      <c r="A98" s="1676"/>
      <c r="B98" s="1676"/>
      <c r="C98" s="303" t="s">
        <v>1363</v>
      </c>
      <c r="D98" s="4189"/>
      <c r="E98" s="3990"/>
      <c r="F98" s="4127"/>
      <c r="G98" s="334"/>
      <c r="H98" s="1424"/>
      <c r="I98" s="585"/>
      <c r="J98" s="505"/>
      <c r="K98" s="1424"/>
      <c r="L98" s="149"/>
      <c r="M98" s="276"/>
      <c r="N98" s="269"/>
      <c r="O98" s="1548"/>
      <c r="P98" s="1548"/>
      <c r="AH98" s="1555">
        <v>0</v>
      </c>
    </row>
    <row r="99" spans="1:34" s="1559" customFormat="1" ht="18.75" hidden="1" customHeight="1">
      <c r="A99" s="1676" t="s">
        <v>389</v>
      </c>
      <c r="B99" s="1676" t="s">
        <v>390</v>
      </c>
      <c r="C99" s="303"/>
      <c r="D99" s="4189"/>
      <c r="E99" s="3990"/>
      <c r="F99" s="4127" t="str">
        <f>INDEX(PT_DIFFERENTIATION_VTAR,MATCH(A99,PT_DIFFERENTIATION_VTAR_ID,0))</f>
        <v>Тарифы на услуги по передаче тепловой энергии</v>
      </c>
      <c r="G99" s="4164" t="str">
        <f>INDEX(PT_DIFFERENTIATION_NTAR,MATCH(B99,PT_DIFFERENTIATION_NTAR_ID,0))</f>
        <v/>
      </c>
      <c r="H99" s="1757"/>
      <c r="I99" s="1635"/>
      <c r="J99" s="1669"/>
      <c r="K99" s="1674"/>
      <c r="L99" s="1757" t="s">
        <v>514</v>
      </c>
      <c r="M99" s="276"/>
      <c r="N99" s="269"/>
      <c r="O99" s="1548"/>
      <c r="P99" s="1548"/>
      <c r="AH99" s="1555">
        <v>0</v>
      </c>
    </row>
    <row r="100" spans="1:34" s="1559" customFormat="1" ht="18.75" hidden="1" customHeight="1">
      <c r="A100" s="1676"/>
      <c r="B100" s="1676"/>
      <c r="C100" s="303" t="s">
        <v>1354</v>
      </c>
      <c r="D100" s="4189"/>
      <c r="E100" s="3990"/>
      <c r="F100" s="4127"/>
      <c r="G100" s="4164"/>
      <c r="H100" s="1424"/>
      <c r="I100" s="585" t="s">
        <v>1353</v>
      </c>
      <c r="J100" s="505"/>
      <c r="K100" s="1424"/>
      <c r="L100" s="149"/>
      <c r="M100" s="276"/>
      <c r="N100" s="269"/>
      <c r="O100" s="1548"/>
      <c r="P100" s="1548"/>
      <c r="AH100" s="1555">
        <v>0</v>
      </c>
    </row>
    <row r="101" spans="1:34" s="1559" customFormat="1" ht="0.75" hidden="1" customHeight="1">
      <c r="A101" s="1676"/>
      <c r="B101" s="1676"/>
      <c r="C101" s="303" t="s">
        <v>1363</v>
      </c>
      <c r="D101" s="4189"/>
      <c r="E101" s="3990"/>
      <c r="F101" s="4127"/>
      <c r="G101" s="334"/>
      <c r="H101" s="1424"/>
      <c r="I101" s="585"/>
      <c r="J101" s="505"/>
      <c r="K101" s="1424"/>
      <c r="L101" s="149"/>
      <c r="M101" s="276"/>
      <c r="N101" s="269"/>
      <c r="O101" s="1548"/>
      <c r="P101" s="1548"/>
      <c r="AH101" s="1555">
        <v>0</v>
      </c>
    </row>
    <row r="102" spans="1:34" s="1559" customFormat="1" ht="18.75" hidden="1" customHeight="1">
      <c r="A102" s="1676" t="s">
        <v>395</v>
      </c>
      <c r="B102" s="1676" t="s">
        <v>396</v>
      </c>
      <c r="C102" s="303"/>
      <c r="D102" s="4189"/>
      <c r="E102" s="3990"/>
      <c r="F102" s="4127" t="str">
        <f>INDEX(PT_DIFFERENTIATION_VTAR,MATCH(A102,PT_DIFFERENTIATION_VTAR_ID,0))</f>
        <v>Тарифы на услуги по передаче теплоносителя</v>
      </c>
      <c r="G102" s="4164" t="str">
        <f>INDEX(PT_DIFFERENTIATION_NTAR,MATCH(B102,PT_DIFFERENTIATION_NTAR_ID,0))</f>
        <v/>
      </c>
      <c r="H102" s="1757"/>
      <c r="I102" s="1635"/>
      <c r="J102" s="1669"/>
      <c r="K102" s="1674"/>
      <c r="L102" s="1757" t="s">
        <v>514</v>
      </c>
      <c r="M102" s="276"/>
      <c r="N102" s="269"/>
      <c r="O102" s="1548"/>
      <c r="P102" s="1548"/>
      <c r="AH102" s="1555">
        <v>0</v>
      </c>
    </row>
    <row r="103" spans="1:34" s="1559" customFormat="1" ht="18.75" hidden="1" customHeight="1">
      <c r="A103" s="1676"/>
      <c r="B103" s="1676"/>
      <c r="C103" s="303" t="s">
        <v>1354</v>
      </c>
      <c r="D103" s="4189"/>
      <c r="E103" s="3990"/>
      <c r="F103" s="4127"/>
      <c r="G103" s="4164"/>
      <c r="H103" s="1424"/>
      <c r="I103" s="585" t="s">
        <v>1353</v>
      </c>
      <c r="J103" s="505"/>
      <c r="K103" s="1424"/>
      <c r="L103" s="149"/>
      <c r="M103" s="276"/>
      <c r="N103" s="269"/>
      <c r="O103" s="1548"/>
      <c r="P103" s="1548"/>
      <c r="AH103" s="1555">
        <v>0</v>
      </c>
    </row>
    <row r="104" spans="1:34" s="1559" customFormat="1" ht="0.75" hidden="1" customHeight="1">
      <c r="A104" s="1676"/>
      <c r="B104" s="1676"/>
      <c r="C104" s="303" t="s">
        <v>1363</v>
      </c>
      <c r="D104" s="4189"/>
      <c r="E104" s="3990"/>
      <c r="F104" s="4127"/>
      <c r="G104" s="334"/>
      <c r="H104" s="1424"/>
      <c r="I104" s="585"/>
      <c r="J104" s="505"/>
      <c r="K104" s="1424"/>
      <c r="L104" s="149"/>
      <c r="M104" s="276"/>
      <c r="N104" s="269"/>
      <c r="O104" s="1548"/>
      <c r="P104" s="1548"/>
      <c r="AH104" s="1555">
        <v>0</v>
      </c>
    </row>
    <row r="105" spans="1:34" s="1559" customFormat="1" ht="18.75" hidden="1" customHeight="1">
      <c r="A105" s="1676" t="s">
        <v>401</v>
      </c>
      <c r="B105" s="1676" t="s">
        <v>402</v>
      </c>
      <c r="C105" s="303"/>
      <c r="D105" s="4189"/>
      <c r="E105" s="3990"/>
      <c r="F105" s="412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4164" t="str">
        <f>INDEX(PT_DIFFERENTIATION_NTAR,MATCH(B105,PT_DIFFERENTIATION_NTAR_ID,0))</f>
        <v/>
      </c>
      <c r="H105" s="1757"/>
      <c r="I105" s="1635"/>
      <c r="J105" s="1669"/>
      <c r="K105" s="1674"/>
      <c r="L105" s="1757" t="s">
        <v>514</v>
      </c>
      <c r="M105" s="276"/>
      <c r="N105" s="269"/>
      <c r="O105" s="1548"/>
      <c r="P105" s="1548"/>
      <c r="AH105" s="1555">
        <v>0</v>
      </c>
    </row>
    <row r="106" spans="1:34" s="1559" customFormat="1" ht="18.75" hidden="1" customHeight="1">
      <c r="A106" s="1676"/>
      <c r="B106" s="1676"/>
      <c r="C106" s="303" t="s">
        <v>1354</v>
      </c>
      <c r="D106" s="4189"/>
      <c r="E106" s="3990"/>
      <c r="F106" s="4127"/>
      <c r="G106" s="4164"/>
      <c r="H106" s="1424"/>
      <c r="I106" s="585" t="s">
        <v>1353</v>
      </c>
      <c r="J106" s="505"/>
      <c r="K106" s="1424"/>
      <c r="L106" s="149"/>
      <c r="M106" s="276"/>
      <c r="N106" s="269"/>
      <c r="O106" s="1548"/>
      <c r="P106" s="1548"/>
      <c r="AH106" s="1555">
        <v>0</v>
      </c>
    </row>
    <row r="107" spans="1:34" s="1559" customFormat="1" ht="0.75" hidden="1" customHeight="1">
      <c r="A107" s="1676"/>
      <c r="B107" s="1676"/>
      <c r="C107" s="303" t="s">
        <v>1363</v>
      </c>
      <c r="D107" s="4189"/>
      <c r="E107" s="3990"/>
      <c r="F107" s="4127"/>
      <c r="G107" s="334"/>
      <c r="H107" s="1424"/>
      <c r="I107" s="585"/>
      <c r="J107" s="505"/>
      <c r="K107" s="1424"/>
      <c r="L107" s="149"/>
      <c r="M107" s="276"/>
      <c r="N107" s="269"/>
      <c r="O107" s="1548"/>
      <c r="P107" s="1548"/>
      <c r="AH107" s="1555">
        <v>0</v>
      </c>
    </row>
    <row r="108" spans="1:34" s="1559" customFormat="1" ht="18.75" hidden="1" customHeight="1">
      <c r="A108" s="1676" t="s">
        <v>407</v>
      </c>
      <c r="B108" s="1676" t="s">
        <v>408</v>
      </c>
      <c r="C108" s="303"/>
      <c r="D108" s="4189"/>
      <c r="E108" s="3990"/>
      <c r="F108" s="4127" t="str">
        <f>INDEX(PT_DIFFERENTIATION_VTAR,MATCH(A108,PT_DIFFERENTIATION_VTAR_ID,0))</f>
        <v>Плата за подключение (технологическое присоединение) к системе теплоснабжения</v>
      </c>
      <c r="G108" s="4164" t="str">
        <f>INDEX(PT_DIFFERENTIATION_NTAR,MATCH(B108,PT_DIFFERENTIATION_NTAR_ID,0))</f>
        <v/>
      </c>
      <c r="H108" s="1757"/>
      <c r="I108" s="1635"/>
      <c r="J108" s="1669"/>
      <c r="K108" s="1674"/>
      <c r="L108" s="1757" t="s">
        <v>514</v>
      </c>
      <c r="M108" s="276"/>
      <c r="N108" s="269"/>
      <c r="O108" s="1548"/>
      <c r="P108" s="1548"/>
      <c r="AH108" s="1555">
        <v>0</v>
      </c>
    </row>
    <row r="109" spans="1:34" s="1559" customFormat="1" ht="18.75" hidden="1" customHeight="1">
      <c r="A109" s="1676"/>
      <c r="B109" s="1676"/>
      <c r="C109" s="303" t="s">
        <v>1354</v>
      </c>
      <c r="D109" s="4189"/>
      <c r="E109" s="3990"/>
      <c r="F109" s="4127"/>
      <c r="G109" s="4164"/>
      <c r="H109" s="1424"/>
      <c r="I109" s="585" t="s">
        <v>1353</v>
      </c>
      <c r="J109" s="505"/>
      <c r="K109" s="1424"/>
      <c r="L109" s="149"/>
      <c r="M109" s="276"/>
      <c r="N109" s="269"/>
      <c r="O109" s="1548"/>
      <c r="P109" s="1548"/>
      <c r="AH109" s="1555">
        <v>0</v>
      </c>
    </row>
    <row r="110" spans="1:34" s="1559" customFormat="1" ht="0.75" hidden="1" customHeight="1">
      <c r="A110" s="1676"/>
      <c r="B110" s="1676"/>
      <c r="C110" s="303" t="s">
        <v>1363</v>
      </c>
      <c r="D110" s="4189"/>
      <c r="E110" s="3990"/>
      <c r="F110" s="4127"/>
      <c r="G110" s="334"/>
      <c r="H110" s="1424"/>
      <c r="I110" s="585"/>
      <c r="J110" s="505"/>
      <c r="K110" s="1424"/>
      <c r="L110" s="149"/>
      <c r="M110" s="276"/>
      <c r="N110" s="269"/>
      <c r="O110" s="1548"/>
      <c r="P110" s="1548"/>
      <c r="AH110" s="1555">
        <v>0</v>
      </c>
    </row>
    <row r="111" spans="1:34" s="1559" customFormat="1" ht="18.75" hidden="1" customHeight="1">
      <c r="A111" s="1676" t="s">
        <v>413</v>
      </c>
      <c r="B111" s="1676" t="s">
        <v>414</v>
      </c>
      <c r="C111" s="303"/>
      <c r="D111" s="4189"/>
      <c r="E111" s="3990"/>
      <c r="F111" s="4127" t="str">
        <f>INDEX(PT_DIFFERENTIATION_VTAR,MATCH(A111,PT_DIFFERENTIATION_VTAR_ID,0))</f>
        <v>Плата за подключение (технологическое присоединение) к системе теплоснабжения (индивидуальная)</v>
      </c>
      <c r="G111" s="4164" t="str">
        <f>INDEX(PT_DIFFERENTIATION_NTAR,MATCH(B111,PT_DIFFERENTIATION_NTAR_ID,0))</f>
        <v/>
      </c>
      <c r="H111" s="1881"/>
      <c r="I111" s="1635"/>
      <c r="J111" s="1669"/>
      <c r="K111" s="1674"/>
      <c r="L111" s="1881" t="s">
        <v>514</v>
      </c>
      <c r="M111" s="276"/>
      <c r="N111" s="269"/>
      <c r="O111" s="1548"/>
      <c r="P111" s="1548"/>
      <c r="AH111" s="1555">
        <v>0</v>
      </c>
    </row>
    <row r="112" spans="1:34" s="1559" customFormat="1" ht="18.75" hidden="1" customHeight="1">
      <c r="A112" s="1676"/>
      <c r="B112" s="1676"/>
      <c r="C112" s="303" t="s">
        <v>1354</v>
      </c>
      <c r="D112" s="4189"/>
      <c r="E112" s="3990"/>
      <c r="F112" s="4127"/>
      <c r="G112" s="4164"/>
      <c r="H112" s="1424"/>
      <c r="I112" s="585" t="s">
        <v>1353</v>
      </c>
      <c r="J112" s="505"/>
      <c r="K112" s="1424"/>
      <c r="L112" s="149"/>
      <c r="M112" s="276"/>
      <c r="N112" s="269"/>
      <c r="O112" s="1548"/>
      <c r="P112" s="1548"/>
      <c r="AH112" s="1555">
        <v>0</v>
      </c>
    </row>
    <row r="113" spans="1:34" s="1559" customFormat="1" ht="0.75" hidden="1" customHeight="1">
      <c r="A113" s="1676"/>
      <c r="B113" s="1676"/>
      <c r="C113" s="303" t="s">
        <v>1363</v>
      </c>
      <c r="D113" s="4189"/>
      <c r="E113" s="3990"/>
      <c r="F113" s="4127"/>
      <c r="G113" s="334"/>
      <c r="H113" s="1424"/>
      <c r="I113" s="585"/>
      <c r="J113" s="505"/>
      <c r="K113" s="1424"/>
      <c r="L113" s="149"/>
      <c r="M113" s="276"/>
      <c r="N113" s="269"/>
      <c r="O113" s="1548"/>
      <c r="P113" s="1548"/>
      <c r="AH113" s="1555">
        <v>0</v>
      </c>
    </row>
    <row r="114" spans="1:34" s="1559" customFormat="1" ht="18.75" hidden="1" customHeight="1">
      <c r="A114" s="1676" t="s">
        <v>433</v>
      </c>
      <c r="B114" s="1676" t="s">
        <v>434</v>
      </c>
      <c r="C114" s="303"/>
      <c r="D114" s="4189"/>
      <c r="E114" s="3990"/>
      <c r="F114" s="4127" t="str">
        <f>INDEX(PT_DIFFERENTIATION_VTAR,MATCH(A114,PT_DIFFERENTIATION_VTAR_ID,0))</f>
        <v>Тариф на питьевую воду (питьевое водоснабжение)</v>
      </c>
      <c r="G114" s="4164" t="str">
        <f>INDEX(PT_DIFFERENTIATION_NTAR,MATCH(B114,PT_DIFFERENTIATION_NTAR_ID,0))</f>
        <v/>
      </c>
      <c r="H114" s="1757"/>
      <c r="I114" s="1635"/>
      <c r="J114" s="1669"/>
      <c r="K114" s="1674"/>
      <c r="L114" s="1757" t="s">
        <v>514</v>
      </c>
      <c r="M114" s="276"/>
      <c r="N114" s="269"/>
      <c r="O114" s="1548"/>
      <c r="P114" s="1548"/>
      <c r="AH114" s="1555">
        <v>0</v>
      </c>
    </row>
    <row r="115" spans="1:34" s="1559" customFormat="1" ht="18.75" hidden="1" customHeight="1">
      <c r="A115" s="1676"/>
      <c r="B115" s="1676"/>
      <c r="C115" s="303" t="s">
        <v>1354</v>
      </c>
      <c r="D115" s="4189"/>
      <c r="E115" s="3990"/>
      <c r="F115" s="4127"/>
      <c r="G115" s="4164"/>
      <c r="H115" s="1424"/>
      <c r="I115" s="585" t="s">
        <v>1353</v>
      </c>
      <c r="J115" s="505"/>
      <c r="K115" s="1424"/>
      <c r="L115" s="149"/>
      <c r="M115" s="276"/>
      <c r="N115" s="269"/>
      <c r="O115" s="1548"/>
      <c r="P115" s="1548"/>
      <c r="AH115" s="1555">
        <v>0</v>
      </c>
    </row>
    <row r="116" spans="1:34" s="1559" customFormat="1" ht="0.75" hidden="1" customHeight="1">
      <c r="A116" s="1676"/>
      <c r="B116" s="1676"/>
      <c r="C116" s="303" t="s">
        <v>1363</v>
      </c>
      <c r="D116" s="4189"/>
      <c r="E116" s="3990"/>
      <c r="F116" s="4127"/>
      <c r="G116" s="334"/>
      <c r="H116" s="1424"/>
      <c r="I116" s="585"/>
      <c r="J116" s="505"/>
      <c r="K116" s="1424"/>
      <c r="L116" s="149"/>
      <c r="M116" s="276"/>
      <c r="N116" s="269"/>
      <c r="O116" s="1548"/>
      <c r="P116" s="1548"/>
      <c r="AH116" s="1555">
        <v>0</v>
      </c>
    </row>
    <row r="117" spans="1:34" s="1559" customFormat="1" ht="18.75" hidden="1" customHeight="1">
      <c r="A117" s="1676" t="s">
        <v>438</v>
      </c>
      <c r="B117" s="1676" t="s">
        <v>439</v>
      </c>
      <c r="C117" s="303"/>
      <c r="D117" s="4189"/>
      <c r="E117" s="3990"/>
      <c r="F117" s="4127" t="str">
        <f>INDEX(PT_DIFFERENTIATION_VTAR,MATCH(A117,PT_DIFFERENTIATION_VTAR_ID,0))</f>
        <v>Тариф на техническую воду</v>
      </c>
      <c r="G117" s="4164" t="str">
        <f>INDEX(PT_DIFFERENTIATION_NTAR,MATCH(B117,PT_DIFFERENTIATION_NTAR_ID,0))</f>
        <v/>
      </c>
      <c r="H117" s="1757"/>
      <c r="I117" s="1635"/>
      <c r="J117" s="1669"/>
      <c r="K117" s="1674"/>
      <c r="L117" s="1757" t="s">
        <v>514</v>
      </c>
      <c r="M117" s="276"/>
      <c r="N117" s="269"/>
      <c r="O117" s="1548"/>
      <c r="P117" s="1548"/>
      <c r="AH117" s="1555">
        <v>0</v>
      </c>
    </row>
    <row r="118" spans="1:34" s="1559" customFormat="1" ht="18.75" hidden="1" customHeight="1">
      <c r="A118" s="1676"/>
      <c r="B118" s="1676"/>
      <c r="C118" s="303" t="s">
        <v>1354</v>
      </c>
      <c r="D118" s="4189"/>
      <c r="E118" s="3990"/>
      <c r="F118" s="4127"/>
      <c r="G118" s="4164"/>
      <c r="H118" s="1424"/>
      <c r="I118" s="585" t="s">
        <v>1353</v>
      </c>
      <c r="J118" s="505"/>
      <c r="K118" s="1424"/>
      <c r="L118" s="149"/>
      <c r="M118" s="276"/>
      <c r="N118" s="269"/>
      <c r="O118" s="1548"/>
      <c r="P118" s="1548"/>
      <c r="AH118" s="1555">
        <v>0</v>
      </c>
    </row>
    <row r="119" spans="1:34" s="1559" customFormat="1" ht="0.75" hidden="1" customHeight="1">
      <c r="A119" s="1676"/>
      <c r="B119" s="1676"/>
      <c r="C119" s="303" t="s">
        <v>1363</v>
      </c>
      <c r="D119" s="4189"/>
      <c r="E119" s="3990"/>
      <c r="F119" s="4127"/>
      <c r="G119" s="334"/>
      <c r="H119" s="1424"/>
      <c r="I119" s="585"/>
      <c r="J119" s="505"/>
      <c r="K119" s="1424"/>
      <c r="L119" s="149"/>
      <c r="M119" s="276"/>
      <c r="N119" s="269"/>
      <c r="O119" s="1548"/>
      <c r="P119" s="1548"/>
      <c r="AH119" s="1555">
        <v>0</v>
      </c>
    </row>
    <row r="120" spans="1:34" s="1559" customFormat="1" ht="18.75" hidden="1" customHeight="1">
      <c r="A120" s="1676" t="s">
        <v>443</v>
      </c>
      <c r="B120" s="1676" t="s">
        <v>444</v>
      </c>
      <c r="C120" s="303"/>
      <c r="D120" s="4189"/>
      <c r="E120" s="3990"/>
      <c r="F120" s="4127" t="str">
        <f>INDEX(PT_DIFFERENTIATION_VTAR,MATCH(A120,PT_DIFFERENTIATION_VTAR_ID,0))</f>
        <v>Тариф на транспортировку воды</v>
      </c>
      <c r="G120" s="4164" t="str">
        <f>INDEX(PT_DIFFERENTIATION_NTAR,MATCH(B120,PT_DIFFERENTIATION_NTAR_ID,0))</f>
        <v/>
      </c>
      <c r="H120" s="1757"/>
      <c r="I120" s="1635"/>
      <c r="J120" s="1669"/>
      <c r="K120" s="1674"/>
      <c r="L120" s="1757" t="s">
        <v>514</v>
      </c>
      <c r="M120" s="276"/>
      <c r="N120" s="269"/>
      <c r="O120" s="1548"/>
      <c r="P120" s="1548"/>
      <c r="AH120" s="1555">
        <v>0</v>
      </c>
    </row>
    <row r="121" spans="1:34" s="1559" customFormat="1" ht="18.75" hidden="1" customHeight="1">
      <c r="A121" s="1676"/>
      <c r="B121" s="1676"/>
      <c r="C121" s="303" t="s">
        <v>1354</v>
      </c>
      <c r="D121" s="4189"/>
      <c r="E121" s="3990"/>
      <c r="F121" s="4127"/>
      <c r="G121" s="4164"/>
      <c r="H121" s="1424"/>
      <c r="I121" s="585" t="s">
        <v>1353</v>
      </c>
      <c r="J121" s="505"/>
      <c r="K121" s="1424"/>
      <c r="L121" s="149"/>
      <c r="M121" s="276"/>
      <c r="N121" s="269"/>
      <c r="O121" s="1548"/>
      <c r="P121" s="1548"/>
      <c r="AH121" s="1555">
        <v>0</v>
      </c>
    </row>
    <row r="122" spans="1:34" s="1559" customFormat="1" ht="0.75" hidden="1" customHeight="1">
      <c r="A122" s="1676"/>
      <c r="B122" s="1676"/>
      <c r="C122" s="303" t="s">
        <v>1363</v>
      </c>
      <c r="D122" s="4189"/>
      <c r="E122" s="3990"/>
      <c r="F122" s="4127"/>
      <c r="G122" s="334"/>
      <c r="H122" s="1424"/>
      <c r="I122" s="585"/>
      <c r="J122" s="505"/>
      <c r="K122" s="1424"/>
      <c r="L122" s="149"/>
      <c r="M122" s="276"/>
      <c r="N122" s="269"/>
      <c r="O122" s="1548"/>
      <c r="P122" s="1548"/>
      <c r="AH122" s="1555">
        <v>0</v>
      </c>
    </row>
    <row r="123" spans="1:34" s="1559" customFormat="1" ht="18.75" hidden="1" customHeight="1">
      <c r="A123" s="1676" t="s">
        <v>448</v>
      </c>
      <c r="B123" s="1676" t="s">
        <v>449</v>
      </c>
      <c r="C123" s="303"/>
      <c r="D123" s="4189"/>
      <c r="E123" s="3990"/>
      <c r="F123" s="4127" t="str">
        <f>INDEX(PT_DIFFERENTIATION_VTAR,MATCH(A123,PT_DIFFERENTIATION_VTAR_ID,0))</f>
        <v>Тариф на подвоз воды</v>
      </c>
      <c r="G123" s="4164" t="str">
        <f>INDEX(PT_DIFFERENTIATION_NTAR,MATCH(B123,PT_DIFFERENTIATION_NTAR_ID,0))</f>
        <v/>
      </c>
      <c r="H123" s="1757"/>
      <c r="I123" s="1635"/>
      <c r="J123" s="1669"/>
      <c r="K123" s="1674"/>
      <c r="L123" s="1757" t="s">
        <v>514</v>
      </c>
      <c r="M123" s="276"/>
      <c r="N123" s="269"/>
      <c r="O123" s="1548"/>
      <c r="P123" s="1548"/>
      <c r="AH123" s="1555">
        <v>0</v>
      </c>
    </row>
    <row r="124" spans="1:34" s="1559" customFormat="1" ht="18.75" hidden="1" customHeight="1">
      <c r="A124" s="1676"/>
      <c r="B124" s="1676"/>
      <c r="C124" s="303" t="s">
        <v>1354</v>
      </c>
      <c r="D124" s="4189"/>
      <c r="E124" s="3990"/>
      <c r="F124" s="4127"/>
      <c r="G124" s="4164"/>
      <c r="H124" s="1424"/>
      <c r="I124" s="585" t="s">
        <v>1353</v>
      </c>
      <c r="J124" s="505"/>
      <c r="K124" s="1424"/>
      <c r="L124" s="149"/>
      <c r="M124" s="276"/>
      <c r="N124" s="269"/>
      <c r="O124" s="1548"/>
      <c r="P124" s="1548"/>
      <c r="AH124" s="1555">
        <v>0</v>
      </c>
    </row>
    <row r="125" spans="1:34" s="1559" customFormat="1" ht="0.75" hidden="1" customHeight="1">
      <c r="A125" s="1676"/>
      <c r="B125" s="1676"/>
      <c r="C125" s="303" t="s">
        <v>1363</v>
      </c>
      <c r="D125" s="4189"/>
      <c r="E125" s="3990"/>
      <c r="F125" s="4127"/>
      <c r="G125" s="334"/>
      <c r="H125" s="1424"/>
      <c r="I125" s="585"/>
      <c r="J125" s="505"/>
      <c r="K125" s="1424"/>
      <c r="L125" s="149"/>
      <c r="M125" s="276"/>
      <c r="N125" s="269"/>
      <c r="O125" s="1548"/>
      <c r="P125" s="1548"/>
      <c r="AH125" s="1555">
        <v>0</v>
      </c>
    </row>
    <row r="126" spans="1:34" s="1559" customFormat="1" ht="18.75" hidden="1" customHeight="1">
      <c r="A126" s="1676" t="s">
        <v>453</v>
      </c>
      <c r="B126" s="1676" t="s">
        <v>454</v>
      </c>
      <c r="C126" s="303"/>
      <c r="D126" s="4189"/>
      <c r="E126" s="3990"/>
      <c r="F126" s="412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4164" t="str">
        <f>INDEX(PT_DIFFERENTIATION_NTAR,MATCH(B126,PT_DIFFERENTIATION_NTAR_ID,0))</f>
        <v/>
      </c>
      <c r="H126" s="1757"/>
      <c r="I126" s="1635"/>
      <c r="J126" s="1669"/>
      <c r="K126" s="1674"/>
      <c r="L126" s="1757" t="s">
        <v>514</v>
      </c>
      <c r="M126" s="276"/>
      <c r="N126" s="269"/>
      <c r="O126" s="1548"/>
      <c r="P126" s="1548"/>
      <c r="AH126" s="1555">
        <v>0</v>
      </c>
    </row>
    <row r="127" spans="1:34" s="1559" customFormat="1" ht="18.75" hidden="1" customHeight="1">
      <c r="A127" s="1676"/>
      <c r="B127" s="1676"/>
      <c r="C127" s="303" t="s">
        <v>1354</v>
      </c>
      <c r="D127" s="4189"/>
      <c r="E127" s="3990"/>
      <c r="F127" s="4127"/>
      <c r="G127" s="4164"/>
      <c r="H127" s="1424"/>
      <c r="I127" s="585" t="s">
        <v>1353</v>
      </c>
      <c r="J127" s="505"/>
      <c r="K127" s="1424"/>
      <c r="L127" s="149"/>
      <c r="M127" s="276"/>
      <c r="N127" s="269"/>
      <c r="O127" s="1548"/>
      <c r="P127" s="1548"/>
      <c r="AH127" s="1555">
        <v>0</v>
      </c>
    </row>
    <row r="128" spans="1:34" s="1559" customFormat="1" ht="0.75" hidden="1" customHeight="1">
      <c r="A128" s="1676"/>
      <c r="B128" s="1676"/>
      <c r="C128" s="303" t="s">
        <v>1363</v>
      </c>
      <c r="D128" s="4189"/>
      <c r="E128" s="3990"/>
      <c r="F128" s="4127"/>
      <c r="G128" s="334"/>
      <c r="H128" s="1424"/>
      <c r="I128" s="585"/>
      <c r="J128" s="505"/>
      <c r="K128" s="1424"/>
      <c r="L128" s="149"/>
      <c r="M128" s="276"/>
      <c r="N128" s="269"/>
      <c r="O128" s="1548"/>
      <c r="P128" s="1548"/>
      <c r="AH128" s="1555">
        <v>0</v>
      </c>
    </row>
    <row r="129" spans="1:34" s="1559" customFormat="1" ht="18.75" hidden="1" customHeight="1">
      <c r="A129" s="1676" t="s">
        <v>458</v>
      </c>
      <c r="B129" s="1676" t="s">
        <v>459</v>
      </c>
      <c r="C129" s="303"/>
      <c r="D129" s="4189"/>
      <c r="E129" s="3990"/>
      <c r="F129" s="4127" t="str">
        <f>INDEX(PT_DIFFERENTIATION_VTAR,MATCH(A129,PT_DIFFERENTIATION_VTAR_ID,0))</f>
        <v>Тариф на горячую воду (горячее водоснабжение)</v>
      </c>
      <c r="G129" s="4164" t="str">
        <f>INDEX(PT_DIFFERENTIATION_NTAR,MATCH(B129,PT_DIFFERENTIATION_NTAR_ID,0))</f>
        <v/>
      </c>
      <c r="H129" s="1757"/>
      <c r="I129" s="1635"/>
      <c r="J129" s="1669"/>
      <c r="K129" s="1674"/>
      <c r="L129" s="1757" t="s">
        <v>514</v>
      </c>
      <c r="M129" s="276"/>
      <c r="N129" s="269"/>
      <c r="O129" s="1548"/>
      <c r="P129" s="1548"/>
      <c r="AH129" s="1555">
        <v>0</v>
      </c>
    </row>
    <row r="130" spans="1:34" s="1559" customFormat="1" ht="18.75" hidden="1" customHeight="1">
      <c r="A130" s="1676"/>
      <c r="B130" s="1676"/>
      <c r="C130" s="303" t="s">
        <v>1354</v>
      </c>
      <c r="D130" s="4189"/>
      <c r="E130" s="3990"/>
      <c r="F130" s="4127"/>
      <c r="G130" s="4164"/>
      <c r="H130" s="1424"/>
      <c r="I130" s="585" t="s">
        <v>1353</v>
      </c>
      <c r="J130" s="505"/>
      <c r="K130" s="1424"/>
      <c r="L130" s="149"/>
      <c r="M130" s="276"/>
      <c r="N130" s="269"/>
      <c r="O130" s="1548"/>
      <c r="P130" s="1548"/>
      <c r="AH130" s="1555">
        <v>0</v>
      </c>
    </row>
    <row r="131" spans="1:34" s="1559" customFormat="1" ht="0.75" hidden="1" customHeight="1">
      <c r="A131" s="1676"/>
      <c r="B131" s="1676"/>
      <c r="C131" s="303" t="s">
        <v>1363</v>
      </c>
      <c r="D131" s="4189"/>
      <c r="E131" s="3990"/>
      <c r="F131" s="4127"/>
      <c r="G131" s="334"/>
      <c r="H131" s="1424"/>
      <c r="I131" s="585"/>
      <c r="J131" s="505"/>
      <c r="K131" s="1424"/>
      <c r="L131" s="149"/>
      <c r="M131" s="276"/>
      <c r="N131" s="269"/>
      <c r="O131" s="1548"/>
      <c r="P131" s="1548"/>
      <c r="AH131" s="1555">
        <v>0</v>
      </c>
    </row>
    <row r="132" spans="1:34" s="1559" customFormat="1" ht="18.75" hidden="1" customHeight="1">
      <c r="A132" s="1676" t="s">
        <v>463</v>
      </c>
      <c r="B132" s="1676" t="s">
        <v>464</v>
      </c>
      <c r="C132" s="303"/>
      <c r="D132" s="4189"/>
      <c r="E132" s="3990"/>
      <c r="F132" s="4127" t="str">
        <f>INDEX(PT_DIFFERENTIATION_VTAR,MATCH(A132,PT_DIFFERENTIATION_VTAR_ID,0))</f>
        <v>Тариф на транспортировку горячей воды</v>
      </c>
      <c r="G132" s="4164" t="str">
        <f>INDEX(PT_DIFFERENTIATION_NTAR,MATCH(B132,PT_DIFFERENTIATION_NTAR_ID,0))</f>
        <v/>
      </c>
      <c r="H132" s="1757"/>
      <c r="I132" s="1635"/>
      <c r="J132" s="1669"/>
      <c r="K132" s="1674"/>
      <c r="L132" s="1757" t="s">
        <v>514</v>
      </c>
      <c r="M132" s="276"/>
      <c r="N132" s="269"/>
      <c r="O132" s="1548"/>
      <c r="P132" s="1548"/>
      <c r="AH132" s="1555">
        <v>0</v>
      </c>
    </row>
    <row r="133" spans="1:34" s="1559" customFormat="1" ht="18.75" hidden="1" customHeight="1">
      <c r="A133" s="1676"/>
      <c r="B133" s="1676"/>
      <c r="C133" s="303" t="s">
        <v>1354</v>
      </c>
      <c r="D133" s="4189"/>
      <c r="E133" s="3990"/>
      <c r="F133" s="4127"/>
      <c r="G133" s="4164"/>
      <c r="H133" s="1424"/>
      <c r="I133" s="585" t="s">
        <v>1353</v>
      </c>
      <c r="J133" s="505"/>
      <c r="K133" s="1424"/>
      <c r="L133" s="149"/>
      <c r="M133" s="276"/>
      <c r="N133" s="269"/>
      <c r="O133" s="1548"/>
      <c r="P133" s="1548"/>
      <c r="AH133" s="1555">
        <v>0</v>
      </c>
    </row>
    <row r="134" spans="1:34" s="1559" customFormat="1" ht="0.75" hidden="1" customHeight="1">
      <c r="A134" s="1676"/>
      <c r="B134" s="1676"/>
      <c r="C134" s="303" t="s">
        <v>1363</v>
      </c>
      <c r="D134" s="4189"/>
      <c r="E134" s="3990"/>
      <c r="F134" s="4127"/>
      <c r="G134" s="334"/>
      <c r="H134" s="1424"/>
      <c r="I134" s="585"/>
      <c r="J134" s="505"/>
      <c r="K134" s="1424"/>
      <c r="L134" s="149"/>
      <c r="M134" s="276"/>
      <c r="N134" s="269"/>
      <c r="O134" s="1548"/>
      <c r="P134" s="1548"/>
      <c r="AH134" s="1555">
        <v>0</v>
      </c>
    </row>
    <row r="135" spans="1:34" s="1559" customFormat="1" ht="18.75" hidden="1" customHeight="1">
      <c r="A135" s="1676" t="s">
        <v>468</v>
      </c>
      <c r="B135" s="1676" t="s">
        <v>469</v>
      </c>
      <c r="C135" s="303"/>
      <c r="D135" s="4189"/>
      <c r="E135" s="3990"/>
      <c r="F135" s="4127" t="str">
        <f>INDEX(PT_DIFFERENTIATION_VTAR,MATCH(A135,PT_DIFFERENTIATION_VTAR_ID,0))</f>
        <v>Тариф на подключение (технологическое присоединение) к централизованной системе горячего водоснабжения</v>
      </c>
      <c r="G135" s="4164" t="str">
        <f>INDEX(PT_DIFFERENTIATION_NTAR,MATCH(B135,PT_DIFFERENTIATION_NTAR_ID,0))</f>
        <v/>
      </c>
      <c r="H135" s="1757"/>
      <c r="I135" s="1635"/>
      <c r="J135" s="1669"/>
      <c r="K135" s="1674"/>
      <c r="L135" s="1757" t="s">
        <v>514</v>
      </c>
      <c r="M135" s="276"/>
      <c r="N135" s="269"/>
      <c r="O135" s="1548"/>
      <c r="P135" s="1548"/>
      <c r="AH135" s="1555">
        <v>0</v>
      </c>
    </row>
    <row r="136" spans="1:34" s="1559" customFormat="1" ht="18.75" hidden="1" customHeight="1">
      <c r="A136" s="1676"/>
      <c r="B136" s="1676"/>
      <c r="C136" s="303" t="s">
        <v>1354</v>
      </c>
      <c r="D136" s="4189"/>
      <c r="E136" s="3990"/>
      <c r="F136" s="4127"/>
      <c r="G136" s="4164"/>
      <c r="H136" s="1424"/>
      <c r="I136" s="585" t="s">
        <v>1353</v>
      </c>
      <c r="J136" s="505"/>
      <c r="K136" s="1424"/>
      <c r="L136" s="149"/>
      <c r="M136" s="276"/>
      <c r="N136" s="269"/>
      <c r="O136" s="1548"/>
      <c r="P136" s="1548"/>
      <c r="AH136" s="1555">
        <v>0</v>
      </c>
    </row>
    <row r="137" spans="1:34" s="1559" customFormat="1" ht="0.75" hidden="1" customHeight="1">
      <c r="A137" s="1676"/>
      <c r="B137" s="1676"/>
      <c r="C137" s="303" t="s">
        <v>1363</v>
      </c>
      <c r="D137" s="4189"/>
      <c r="E137" s="3990"/>
      <c r="F137" s="4127"/>
      <c r="G137" s="334"/>
      <c r="H137" s="1424"/>
      <c r="I137" s="585"/>
      <c r="J137" s="505"/>
      <c r="K137" s="1424"/>
      <c r="L137" s="149"/>
      <c r="M137" s="276"/>
      <c r="N137" s="269"/>
      <c r="O137" s="1548"/>
      <c r="P137" s="1548"/>
      <c r="AH137" s="1555">
        <v>0</v>
      </c>
    </row>
    <row r="138" spans="1:34" s="1559" customFormat="1" ht="18.75" hidden="1" customHeight="1">
      <c r="A138" s="1676" t="s">
        <v>473</v>
      </c>
      <c r="B138" s="1676" t="s">
        <v>474</v>
      </c>
      <c r="C138" s="303"/>
      <c r="D138" s="4189"/>
      <c r="E138" s="3990"/>
      <c r="F138" s="4127" t="str">
        <f>INDEX(PT_DIFFERENTIATION_VTAR,MATCH(A138,PT_DIFFERENTIATION_VTAR_ID,0))</f>
        <v>Тариф на водоотведение</v>
      </c>
      <c r="G138" s="4164" t="str">
        <f>INDEX(PT_DIFFERENTIATION_NTAR,MATCH(B138,PT_DIFFERENTIATION_NTAR_ID,0))</f>
        <v/>
      </c>
      <c r="H138" s="1757"/>
      <c r="I138" s="1635"/>
      <c r="J138" s="1669"/>
      <c r="K138" s="1674"/>
      <c r="L138" s="1757" t="s">
        <v>514</v>
      </c>
      <c r="M138" s="276"/>
      <c r="N138" s="269"/>
      <c r="O138" s="1548"/>
      <c r="P138" s="1548"/>
      <c r="AH138" s="1555">
        <v>0</v>
      </c>
    </row>
    <row r="139" spans="1:34" s="1559" customFormat="1" ht="18.75" hidden="1" customHeight="1">
      <c r="A139" s="1676"/>
      <c r="B139" s="1676"/>
      <c r="C139" s="303" t="s">
        <v>1354</v>
      </c>
      <c r="D139" s="4189"/>
      <c r="E139" s="3990"/>
      <c r="F139" s="4127"/>
      <c r="G139" s="4164"/>
      <c r="H139" s="1424"/>
      <c r="I139" s="585" t="s">
        <v>1353</v>
      </c>
      <c r="J139" s="505"/>
      <c r="K139" s="1424"/>
      <c r="L139" s="149"/>
      <c r="M139" s="276"/>
      <c r="N139" s="269"/>
      <c r="O139" s="1548"/>
      <c r="P139" s="1548"/>
      <c r="AH139" s="1555">
        <v>0</v>
      </c>
    </row>
    <row r="140" spans="1:34" s="1559" customFormat="1" ht="0.75" hidden="1" customHeight="1">
      <c r="A140" s="1676"/>
      <c r="B140" s="1676"/>
      <c r="C140" s="303" t="s">
        <v>1363</v>
      </c>
      <c r="D140" s="4189"/>
      <c r="E140" s="3990"/>
      <c r="F140" s="4127"/>
      <c r="G140" s="334"/>
      <c r="H140" s="1424"/>
      <c r="I140" s="585"/>
      <c r="J140" s="505"/>
      <c r="K140" s="1424"/>
      <c r="L140" s="149"/>
      <c r="M140" s="276"/>
      <c r="N140" s="269"/>
      <c r="O140" s="1548"/>
      <c r="P140" s="1548"/>
      <c r="AH140" s="1555">
        <v>0</v>
      </c>
    </row>
    <row r="141" spans="1:34" s="1559" customFormat="1" ht="18.75" hidden="1" customHeight="1">
      <c r="A141" s="1676" t="s">
        <v>478</v>
      </c>
      <c r="B141" s="1676" t="s">
        <v>479</v>
      </c>
      <c r="C141" s="303"/>
      <c r="D141" s="4189"/>
      <c r="E141" s="3990"/>
      <c r="F141" s="4127" t="str">
        <f>INDEX(PT_DIFFERENTIATION_VTAR,MATCH(A141,PT_DIFFERENTIATION_VTAR_ID,0))</f>
        <v>Тариф на транспортировку сточных вод</v>
      </c>
      <c r="G141" s="4164" t="str">
        <f>INDEX(PT_DIFFERENTIATION_NTAR,MATCH(B141,PT_DIFFERENTIATION_NTAR_ID,0))</f>
        <v/>
      </c>
      <c r="H141" s="1757"/>
      <c r="I141" s="1635"/>
      <c r="J141" s="1669"/>
      <c r="K141" s="1674"/>
      <c r="L141" s="1757" t="s">
        <v>514</v>
      </c>
      <c r="M141" s="276"/>
      <c r="N141" s="269"/>
      <c r="O141" s="1548"/>
      <c r="P141" s="1548"/>
      <c r="AH141" s="1555">
        <v>0</v>
      </c>
    </row>
    <row r="142" spans="1:34" s="1559" customFormat="1" ht="18.75" hidden="1" customHeight="1">
      <c r="A142" s="1676"/>
      <c r="B142" s="1676"/>
      <c r="C142" s="303" t="s">
        <v>1354</v>
      </c>
      <c r="D142" s="4189"/>
      <c r="E142" s="3990"/>
      <c r="F142" s="4127"/>
      <c r="G142" s="4164"/>
      <c r="H142" s="1424"/>
      <c r="I142" s="585" t="s">
        <v>1353</v>
      </c>
      <c r="J142" s="505"/>
      <c r="K142" s="1424"/>
      <c r="L142" s="149"/>
      <c r="M142" s="276"/>
      <c r="N142" s="269"/>
      <c r="O142" s="1548"/>
      <c r="P142" s="1548"/>
      <c r="AH142" s="1555">
        <v>0</v>
      </c>
    </row>
    <row r="143" spans="1:34" s="1559" customFormat="1" ht="0.75" hidden="1" customHeight="1">
      <c r="A143" s="1676"/>
      <c r="B143" s="1676"/>
      <c r="C143" s="303" t="s">
        <v>1363</v>
      </c>
      <c r="D143" s="4189"/>
      <c r="E143" s="3990"/>
      <c r="F143" s="4127"/>
      <c r="G143" s="334"/>
      <c r="H143" s="1424"/>
      <c r="I143" s="585"/>
      <c r="J143" s="505"/>
      <c r="K143" s="1424"/>
      <c r="L143" s="149"/>
      <c r="M143" s="276"/>
      <c r="N143" s="269"/>
      <c r="O143" s="1548"/>
      <c r="P143" s="1548"/>
      <c r="AH143" s="1555">
        <v>0</v>
      </c>
    </row>
    <row r="144" spans="1:34" s="1559" customFormat="1" ht="18.75" hidden="1" customHeight="1">
      <c r="A144" s="1676" t="s">
        <v>483</v>
      </c>
      <c r="B144" s="1676" t="s">
        <v>484</v>
      </c>
      <c r="C144" s="303"/>
      <c r="D144" s="4189"/>
      <c r="E144" s="3990"/>
      <c r="F144" s="4127" t="str">
        <f>INDEX(PT_DIFFERENTIATION_VTAR,MATCH(A144,PT_DIFFERENTIATION_VTAR_ID,0))</f>
        <v>Тариф на подключение (технологическое присоединение) к централизованной системе водоотведения</v>
      </c>
      <c r="G144" s="4164" t="str">
        <f>INDEX(PT_DIFFERENTIATION_NTAR,MATCH(B144,PT_DIFFERENTIATION_NTAR_ID,0))</f>
        <v/>
      </c>
      <c r="H144" s="1757"/>
      <c r="I144" s="1635"/>
      <c r="J144" s="1669"/>
      <c r="K144" s="1674"/>
      <c r="L144" s="1757" t="s">
        <v>514</v>
      </c>
      <c r="M144" s="276"/>
      <c r="N144" s="269"/>
      <c r="O144" s="1548"/>
      <c r="P144" s="1548"/>
      <c r="AH144" s="1555">
        <v>0</v>
      </c>
    </row>
    <row r="145" spans="1:34" s="1559" customFormat="1" ht="18.75" hidden="1" customHeight="1">
      <c r="A145" s="1676"/>
      <c r="B145" s="1676"/>
      <c r="C145" s="303" t="s">
        <v>1354</v>
      </c>
      <c r="D145" s="4189"/>
      <c r="E145" s="3990"/>
      <c r="F145" s="4127"/>
      <c r="G145" s="4164"/>
      <c r="H145" s="1424"/>
      <c r="I145" s="585" t="s">
        <v>1353</v>
      </c>
      <c r="J145" s="505"/>
      <c r="K145" s="1424"/>
      <c r="L145" s="149"/>
      <c r="M145" s="276"/>
      <c r="N145" s="269"/>
      <c r="O145" s="1548"/>
      <c r="P145" s="1548"/>
      <c r="AH145" s="1555">
        <v>0</v>
      </c>
    </row>
    <row r="146" spans="1:34" s="1559" customFormat="1" ht="1.1499999999999999" customHeight="1">
      <c r="A146" s="1676"/>
      <c r="B146" s="1676"/>
      <c r="C146" s="303" t="s">
        <v>1363</v>
      </c>
      <c r="D146" s="4189"/>
      <c r="E146" s="3990"/>
      <c r="F146" s="4127"/>
      <c r="G146" s="334"/>
      <c r="H146" s="1424"/>
      <c r="I146" s="585"/>
      <c r="J146" s="505"/>
      <c r="K146" s="1424"/>
      <c r="L146" s="149"/>
      <c r="M146" s="276"/>
      <c r="N146" s="269"/>
      <c r="O146" s="1548"/>
      <c r="P146" s="1548"/>
      <c r="AH146" s="1555">
        <v>1</v>
      </c>
    </row>
    <row r="147" spans="1:34" ht="19.899999999999999" customHeight="1">
      <c r="A147" s="1676"/>
      <c r="B147" s="1676"/>
      <c r="D147" s="310"/>
      <c r="E147" s="83" t="s">
        <v>78</v>
      </c>
      <c r="F147" s="418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4188"/>
      <c r="H147" s="4188"/>
      <c r="I147" s="4188"/>
      <c r="J147" s="4188"/>
      <c r="K147" s="4188"/>
      <c r="L147" s="4188"/>
      <c r="M147" s="232"/>
      <c r="N147" s="269"/>
      <c r="AH147" s="308">
        <v>19</v>
      </c>
    </row>
    <row r="148" spans="1:34" s="1559" customFormat="1" ht="60.75" hidden="1" customHeight="1">
      <c r="A148" s="1676" t="s">
        <v>221</v>
      </c>
      <c r="B148" s="1676" t="s">
        <v>222</v>
      </c>
      <c r="C148" s="303"/>
      <c r="D148" s="4189"/>
      <c r="E148" s="3990"/>
      <c r="F148" s="412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4164" t="str">
        <f>INDEX(PT_DIFFERENTIATION_NTAR,MATCH(B148,PT_DIFFERENTIATION_NTAR_ID,0))</f>
        <v/>
      </c>
      <c r="H148" s="1757"/>
      <c r="I148" s="1635"/>
      <c r="J148" s="1669"/>
      <c r="K148" s="1674"/>
      <c r="L148" s="1757" t="s">
        <v>514</v>
      </c>
      <c r="M148" s="39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48"/>
      <c r="P148" s="1548"/>
      <c r="AH148" s="1555">
        <v>0</v>
      </c>
    </row>
    <row r="149" spans="1:34" s="1559" customFormat="1" ht="18.75" hidden="1" customHeight="1">
      <c r="A149" s="1676"/>
      <c r="B149" s="1676"/>
      <c r="C149" s="303" t="s">
        <v>1354</v>
      </c>
      <c r="D149" s="4189"/>
      <c r="E149" s="3990"/>
      <c r="F149" s="4127"/>
      <c r="G149" s="4164"/>
      <c r="H149" s="1424"/>
      <c r="I149" s="585" t="s">
        <v>1353</v>
      </c>
      <c r="J149" s="505"/>
      <c r="K149" s="1424"/>
      <c r="L149" s="149"/>
      <c r="M149" s="3936"/>
      <c r="N149" s="269"/>
      <c r="O149" s="1548"/>
      <c r="P149" s="1548"/>
      <c r="AH149" s="1555">
        <v>0</v>
      </c>
    </row>
    <row r="150" spans="1:34" s="1559" customFormat="1" ht="0.75" hidden="1" customHeight="1">
      <c r="A150" s="1676"/>
      <c r="B150" s="1676"/>
      <c r="C150" s="303" t="s">
        <v>1363</v>
      </c>
      <c r="D150" s="4189"/>
      <c r="E150" s="3990"/>
      <c r="F150" s="4127"/>
      <c r="G150" s="334"/>
      <c r="H150" s="1424"/>
      <c r="I150" s="585"/>
      <c r="J150" s="505"/>
      <c r="K150" s="1424"/>
      <c r="L150" s="149"/>
      <c r="M150" s="3936"/>
      <c r="N150" s="269"/>
      <c r="O150" s="1548"/>
      <c r="P150" s="1548"/>
      <c r="AH150" s="1555">
        <v>0</v>
      </c>
    </row>
    <row r="151" spans="1:34" s="1559" customFormat="1" ht="45" customHeight="1">
      <c r="A151" s="1676" t="s">
        <v>230</v>
      </c>
      <c r="B151" s="1676" t="s">
        <v>231</v>
      </c>
      <c r="C151" s="303"/>
      <c r="D151" s="4189"/>
      <c r="E151" s="3990"/>
      <c r="F151" s="4127"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4164" t="str">
        <f>INDEX(PT_DIFFERENTIATION_NTAR,MATCH(B151,PT_DIFFERENTIATION_NTAR_ID,0))</f>
        <v>Тариф на тепловую энергию (мощность), поставляемую потребителям</v>
      </c>
      <c r="H151" s="1757"/>
      <c r="I151" s="1635">
        <v>46023.461863425924</v>
      </c>
      <c r="J151" s="1669">
        <v>46387.461956018517</v>
      </c>
      <c r="K151" s="1674">
        <v>1277160.8</v>
      </c>
      <c r="L151" s="1757" t="s">
        <v>514</v>
      </c>
      <c r="M151" s="3937"/>
      <c r="N151" s="269"/>
      <c r="O151" s="1548"/>
      <c r="P151" s="1548"/>
      <c r="AH151" s="1555">
        <v>0</v>
      </c>
    </row>
    <row r="152" spans="1:34" s="1559" customFormat="1" ht="18.75" customHeight="1">
      <c r="A152" s="1676"/>
      <c r="B152" s="1676"/>
      <c r="C152" s="303" t="s">
        <v>1354</v>
      </c>
      <c r="D152" s="4189"/>
      <c r="E152" s="3990"/>
      <c r="F152" s="4127"/>
      <c r="G152" s="4164"/>
      <c r="H152" s="1424"/>
      <c r="I152" s="585" t="s">
        <v>1353</v>
      </c>
      <c r="J152" s="505"/>
      <c r="K152" s="1424"/>
      <c r="L152" s="149"/>
      <c r="M152" s="1756"/>
      <c r="N152" s="269"/>
      <c r="O152" s="1548"/>
      <c r="P152" s="1548"/>
      <c r="AH152" s="1555">
        <v>0</v>
      </c>
    </row>
    <row r="153" spans="1:34" s="1559" customFormat="1" ht="0.75" customHeight="1">
      <c r="A153" s="1676"/>
      <c r="B153" s="1676"/>
      <c r="C153" s="303" t="s">
        <v>1363</v>
      </c>
      <c r="D153" s="4189"/>
      <c r="E153" s="3990"/>
      <c r="F153" s="4127"/>
      <c r="G153" s="334"/>
      <c r="H153" s="1424"/>
      <c r="I153" s="585"/>
      <c r="J153" s="505"/>
      <c r="K153" s="1424"/>
      <c r="L153" s="149"/>
      <c r="M153" s="276"/>
      <c r="N153" s="269"/>
      <c r="O153" s="1548"/>
      <c r="P153" s="1548"/>
      <c r="AH153" s="1555">
        <v>0</v>
      </c>
    </row>
    <row r="154" spans="1:34" s="1559" customFormat="1" ht="45" customHeight="1">
      <c r="A154" s="1676" t="s">
        <v>292</v>
      </c>
      <c r="B154" s="1676" t="s">
        <v>293</v>
      </c>
      <c r="C154" s="303"/>
      <c r="D154" s="4189"/>
      <c r="E154" s="3990"/>
      <c r="F154" s="412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4164" t="str">
        <f>INDEX(PT_DIFFERENTIATION_NTAR,MATCH(B154,PT_DIFFERENTIATION_NTAR_ID,0))</f>
        <v>Тариф на теплоноситель, посталяемый потребителям</v>
      </c>
      <c r="H154" s="1757"/>
      <c r="I154" s="1635">
        <v>46023.462025462963</v>
      </c>
      <c r="J154" s="1669">
        <v>46387.462118055555</v>
      </c>
      <c r="K154" s="1674">
        <f>53.51+34.69+4.06+0.65+7.59+15.17+6.26+0.75+1.2+30.55+24.52+2.56+1.69+1.4+0.57+22.44+1.63+0.72+129.23+1.47+1.04+1.42+1.79+148.38</f>
        <v>493.29000000000008</v>
      </c>
      <c r="L154" s="1757" t="s">
        <v>514</v>
      </c>
      <c r="M154" s="276"/>
      <c r="N154" s="269"/>
      <c r="O154" s="1548"/>
      <c r="P154" s="1548"/>
      <c r="AH154" s="1555">
        <v>0</v>
      </c>
    </row>
    <row r="155" spans="1:34" s="1559" customFormat="1" ht="18.75" customHeight="1">
      <c r="A155" s="1676"/>
      <c r="B155" s="1676"/>
      <c r="C155" s="303" t="s">
        <v>1354</v>
      </c>
      <c r="D155" s="4189"/>
      <c r="E155" s="3990"/>
      <c r="F155" s="4127"/>
      <c r="G155" s="4164"/>
      <c r="H155" s="1424"/>
      <c r="I155" s="585" t="s">
        <v>1353</v>
      </c>
      <c r="J155" s="505"/>
      <c r="K155" s="1424"/>
      <c r="L155" s="149"/>
      <c r="M155" s="276"/>
      <c r="N155" s="269"/>
      <c r="O155" s="1548"/>
      <c r="P155" s="1548"/>
      <c r="AH155" s="1555">
        <v>0</v>
      </c>
    </row>
    <row r="156" spans="1:34" s="1559" customFormat="1" ht="0.75" customHeight="1">
      <c r="A156" s="1676"/>
      <c r="B156" s="1676"/>
      <c r="C156" s="303" t="s">
        <v>1363</v>
      </c>
      <c r="D156" s="4189"/>
      <c r="E156" s="3990"/>
      <c r="F156" s="4127"/>
      <c r="G156" s="334"/>
      <c r="H156" s="1424"/>
      <c r="I156" s="585"/>
      <c r="J156" s="505"/>
      <c r="K156" s="1424"/>
      <c r="L156" s="149"/>
      <c r="M156" s="276"/>
      <c r="N156" s="269"/>
      <c r="O156" s="1548"/>
      <c r="P156" s="1548"/>
      <c r="AH156" s="1555">
        <v>0</v>
      </c>
    </row>
    <row r="157" spans="1:34" s="1559" customFormat="1" ht="45" customHeight="1">
      <c r="A157" s="1676" t="s">
        <v>383</v>
      </c>
      <c r="B157" s="1676" t="s">
        <v>384</v>
      </c>
      <c r="C157" s="303"/>
      <c r="D157" s="4189"/>
      <c r="E157" s="3990"/>
      <c r="F157" s="412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4164" t="str">
        <f>INDEX(PT_DIFFERENTIATION_NTAR,MATCH(B157,PT_DIFFERENTIATION_NTAR_ID,0))</f>
        <v>Тариф на горячую воду с использованиемоткрытой системы горячего водоснабжения</v>
      </c>
      <c r="H157" s="1757"/>
      <c r="I157" s="1635">
        <v>46023.462199074071</v>
      </c>
      <c r="J157" s="1669">
        <v>46387.462280092594</v>
      </c>
      <c r="K157" s="1674">
        <v>116.53</v>
      </c>
      <c r="L157" s="1757" t="s">
        <v>514</v>
      </c>
      <c r="M157" s="276"/>
      <c r="N157" s="269"/>
      <c r="O157" s="1548"/>
      <c r="P157" s="1548"/>
      <c r="AH157" s="1555">
        <v>0</v>
      </c>
    </row>
    <row r="158" spans="1:34" s="1559" customFormat="1" ht="18.75" customHeight="1">
      <c r="A158" s="1676"/>
      <c r="B158" s="1676"/>
      <c r="C158" s="303" t="s">
        <v>1354</v>
      </c>
      <c r="D158" s="4189"/>
      <c r="E158" s="3990"/>
      <c r="F158" s="4127"/>
      <c r="G158" s="4164"/>
      <c r="H158" s="1424"/>
      <c r="I158" s="585" t="s">
        <v>1353</v>
      </c>
      <c r="J158" s="505"/>
      <c r="K158" s="1424"/>
      <c r="L158" s="149"/>
      <c r="M158" s="276"/>
      <c r="N158" s="269"/>
      <c r="O158" s="1548"/>
      <c r="P158" s="1548"/>
      <c r="AH158" s="1555">
        <v>0</v>
      </c>
    </row>
    <row r="159" spans="1:34" s="1559" customFormat="1" ht="0.75" customHeight="1">
      <c r="A159" s="1676"/>
      <c r="B159" s="1676"/>
      <c r="C159" s="303" t="s">
        <v>1363</v>
      </c>
      <c r="D159" s="4189"/>
      <c r="E159" s="3990"/>
      <c r="F159" s="4127"/>
      <c r="G159" s="334"/>
      <c r="H159" s="1424"/>
      <c r="I159" s="585"/>
      <c r="J159" s="505"/>
      <c r="K159" s="1424"/>
      <c r="L159" s="149"/>
      <c r="M159" s="276"/>
      <c r="N159" s="269"/>
      <c r="O159" s="1548"/>
      <c r="P159" s="1548"/>
      <c r="AH159" s="1555">
        <v>0</v>
      </c>
    </row>
    <row r="160" spans="1:34" s="1559" customFormat="1" ht="18.75" hidden="1" customHeight="1">
      <c r="A160" s="1676" t="s">
        <v>389</v>
      </c>
      <c r="B160" s="1676" t="s">
        <v>390</v>
      </c>
      <c r="C160" s="303"/>
      <c r="D160" s="4189"/>
      <c r="E160" s="3990"/>
      <c r="F160" s="4127" t="str">
        <f>INDEX(PT_DIFFERENTIATION_VTAR,MATCH(A160,PT_DIFFERENTIATION_VTAR_ID,0))</f>
        <v>Тарифы на услуги по передаче тепловой энергии</v>
      </c>
      <c r="G160" s="4164" t="str">
        <f>INDEX(PT_DIFFERENTIATION_NTAR,MATCH(B160,PT_DIFFERENTIATION_NTAR_ID,0))</f>
        <v/>
      </c>
      <c r="H160" s="1757"/>
      <c r="I160" s="1635"/>
      <c r="J160" s="1669"/>
      <c r="K160" s="1674"/>
      <c r="L160" s="1757" t="s">
        <v>514</v>
      </c>
      <c r="M160" s="276"/>
      <c r="N160" s="269"/>
      <c r="O160" s="1548"/>
      <c r="P160" s="1548"/>
      <c r="AH160" s="1555">
        <v>0</v>
      </c>
    </row>
    <row r="161" spans="1:34" s="1559" customFormat="1" ht="18.75" hidden="1" customHeight="1">
      <c r="A161" s="1676"/>
      <c r="B161" s="1676"/>
      <c r="C161" s="303" t="s">
        <v>1354</v>
      </c>
      <c r="D161" s="4189"/>
      <c r="E161" s="3990"/>
      <c r="F161" s="4127"/>
      <c r="G161" s="4164"/>
      <c r="H161" s="1424"/>
      <c r="I161" s="585" t="s">
        <v>1353</v>
      </c>
      <c r="J161" s="505"/>
      <c r="K161" s="1424"/>
      <c r="L161" s="149"/>
      <c r="M161" s="276"/>
      <c r="N161" s="269"/>
      <c r="O161" s="1548"/>
      <c r="P161" s="1548"/>
      <c r="AH161" s="1555">
        <v>0</v>
      </c>
    </row>
    <row r="162" spans="1:34" s="1559" customFormat="1" ht="0.75" hidden="1" customHeight="1">
      <c r="A162" s="1676"/>
      <c r="B162" s="1676"/>
      <c r="C162" s="303" t="s">
        <v>1363</v>
      </c>
      <c r="D162" s="4189"/>
      <c r="E162" s="3990"/>
      <c r="F162" s="4127"/>
      <c r="G162" s="334"/>
      <c r="H162" s="1424"/>
      <c r="I162" s="585"/>
      <c r="J162" s="505"/>
      <c r="K162" s="1424"/>
      <c r="L162" s="149"/>
      <c r="M162" s="276"/>
      <c r="N162" s="269"/>
      <c r="O162" s="1548"/>
      <c r="P162" s="1548"/>
      <c r="AH162" s="1555">
        <v>0</v>
      </c>
    </row>
    <row r="163" spans="1:34" s="1559" customFormat="1" ht="18.75" hidden="1" customHeight="1">
      <c r="A163" s="1676" t="s">
        <v>395</v>
      </c>
      <c r="B163" s="1676" t="s">
        <v>396</v>
      </c>
      <c r="C163" s="303"/>
      <c r="D163" s="4189"/>
      <c r="E163" s="3990"/>
      <c r="F163" s="4127" t="str">
        <f>INDEX(PT_DIFFERENTIATION_VTAR,MATCH(A163,PT_DIFFERENTIATION_VTAR_ID,0))</f>
        <v>Тарифы на услуги по передаче теплоносителя</v>
      </c>
      <c r="G163" s="4164" t="str">
        <f>INDEX(PT_DIFFERENTIATION_NTAR,MATCH(B163,PT_DIFFERENTIATION_NTAR_ID,0))</f>
        <v/>
      </c>
      <c r="H163" s="1757"/>
      <c r="I163" s="1635"/>
      <c r="J163" s="1669"/>
      <c r="K163" s="1674"/>
      <c r="L163" s="1757" t="s">
        <v>514</v>
      </c>
      <c r="M163" s="276"/>
      <c r="N163" s="269"/>
      <c r="O163" s="1548"/>
      <c r="P163" s="1548"/>
      <c r="AH163" s="1555">
        <v>0</v>
      </c>
    </row>
    <row r="164" spans="1:34" s="1559" customFormat="1" ht="18.75" hidden="1" customHeight="1">
      <c r="A164" s="1676"/>
      <c r="B164" s="1676"/>
      <c r="C164" s="303" t="s">
        <v>1354</v>
      </c>
      <c r="D164" s="4189"/>
      <c r="E164" s="3990"/>
      <c r="F164" s="4127"/>
      <c r="G164" s="4164"/>
      <c r="H164" s="1424"/>
      <c r="I164" s="585" t="s">
        <v>1353</v>
      </c>
      <c r="J164" s="505"/>
      <c r="K164" s="1424"/>
      <c r="L164" s="149"/>
      <c r="M164" s="276"/>
      <c r="N164" s="269"/>
      <c r="O164" s="1548"/>
      <c r="P164" s="1548"/>
      <c r="AH164" s="1555">
        <v>0</v>
      </c>
    </row>
    <row r="165" spans="1:34" s="1559" customFormat="1" ht="0.75" hidden="1" customHeight="1">
      <c r="A165" s="1676"/>
      <c r="B165" s="1676"/>
      <c r="C165" s="303" t="s">
        <v>1363</v>
      </c>
      <c r="D165" s="4189"/>
      <c r="E165" s="3990"/>
      <c r="F165" s="4127"/>
      <c r="G165" s="334"/>
      <c r="H165" s="1424"/>
      <c r="I165" s="585"/>
      <c r="J165" s="505"/>
      <c r="K165" s="1424"/>
      <c r="L165" s="149"/>
      <c r="M165" s="276"/>
      <c r="N165" s="269"/>
      <c r="O165" s="1548"/>
      <c r="P165" s="1548"/>
      <c r="AH165" s="1555">
        <v>0</v>
      </c>
    </row>
    <row r="166" spans="1:34" s="1559" customFormat="1" ht="18.75" hidden="1" customHeight="1">
      <c r="A166" s="1676" t="s">
        <v>401</v>
      </c>
      <c r="B166" s="1676" t="s">
        <v>402</v>
      </c>
      <c r="C166" s="303"/>
      <c r="D166" s="4189"/>
      <c r="E166" s="3990"/>
      <c r="F166" s="412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4164" t="str">
        <f>INDEX(PT_DIFFERENTIATION_NTAR,MATCH(B166,PT_DIFFERENTIATION_NTAR_ID,0))</f>
        <v/>
      </c>
      <c r="H166" s="1757"/>
      <c r="I166" s="1635"/>
      <c r="J166" s="1669"/>
      <c r="K166" s="1674"/>
      <c r="L166" s="1757" t="s">
        <v>514</v>
      </c>
      <c r="M166" s="276"/>
      <c r="N166" s="269"/>
      <c r="O166" s="1548"/>
      <c r="P166" s="1548"/>
      <c r="AH166" s="1555">
        <v>0</v>
      </c>
    </row>
    <row r="167" spans="1:34" s="1559" customFormat="1" ht="18.75" hidden="1" customHeight="1">
      <c r="A167" s="1676"/>
      <c r="B167" s="1676"/>
      <c r="C167" s="303" t="s">
        <v>1354</v>
      </c>
      <c r="D167" s="4189"/>
      <c r="E167" s="3990"/>
      <c r="F167" s="4127"/>
      <c r="G167" s="4164"/>
      <c r="H167" s="1424"/>
      <c r="I167" s="585" t="s">
        <v>1353</v>
      </c>
      <c r="J167" s="505"/>
      <c r="K167" s="1424"/>
      <c r="L167" s="149"/>
      <c r="M167" s="276"/>
      <c r="N167" s="269"/>
      <c r="O167" s="1548"/>
      <c r="P167" s="1548"/>
      <c r="AH167" s="1555">
        <v>0</v>
      </c>
    </row>
    <row r="168" spans="1:34" s="1559" customFormat="1" ht="0.75" hidden="1" customHeight="1">
      <c r="A168" s="1676"/>
      <c r="B168" s="1676"/>
      <c r="C168" s="303" t="s">
        <v>1363</v>
      </c>
      <c r="D168" s="4189"/>
      <c r="E168" s="3990"/>
      <c r="F168" s="4127"/>
      <c r="G168" s="334"/>
      <c r="H168" s="1424"/>
      <c r="I168" s="585"/>
      <c r="J168" s="505"/>
      <c r="K168" s="1424"/>
      <c r="L168" s="149"/>
      <c r="M168" s="276"/>
      <c r="N168" s="269"/>
      <c r="O168" s="1548"/>
      <c r="P168" s="1548"/>
      <c r="AH168" s="1555">
        <v>0</v>
      </c>
    </row>
    <row r="169" spans="1:34" s="1559" customFormat="1" ht="18.75" hidden="1" customHeight="1">
      <c r="A169" s="1676" t="s">
        <v>407</v>
      </c>
      <c r="B169" s="1676" t="s">
        <v>408</v>
      </c>
      <c r="C169" s="303"/>
      <c r="D169" s="4189"/>
      <c r="E169" s="3990"/>
      <c r="F169" s="4127" t="str">
        <f>INDEX(PT_DIFFERENTIATION_VTAR,MATCH(A169,PT_DIFFERENTIATION_VTAR_ID,0))</f>
        <v>Плата за подключение (технологическое присоединение) к системе теплоснабжения</v>
      </c>
      <c r="G169" s="4164" t="str">
        <f>INDEX(PT_DIFFERENTIATION_NTAR,MATCH(B169,PT_DIFFERENTIATION_NTAR_ID,0))</f>
        <v/>
      </c>
      <c r="H169" s="1757"/>
      <c r="I169" s="1635"/>
      <c r="J169" s="1669"/>
      <c r="K169" s="1674"/>
      <c r="L169" s="1757" t="s">
        <v>514</v>
      </c>
      <c r="M169" s="276"/>
      <c r="N169" s="269"/>
      <c r="O169" s="1548"/>
      <c r="P169" s="1548"/>
      <c r="AH169" s="1555">
        <v>0</v>
      </c>
    </row>
    <row r="170" spans="1:34" s="1559" customFormat="1" ht="18.75" hidden="1" customHeight="1">
      <c r="A170" s="1676"/>
      <c r="B170" s="1676"/>
      <c r="C170" s="303" t="s">
        <v>1354</v>
      </c>
      <c r="D170" s="4189"/>
      <c r="E170" s="3990"/>
      <c r="F170" s="4127"/>
      <c r="G170" s="4164"/>
      <c r="H170" s="1424"/>
      <c r="I170" s="585" t="s">
        <v>1353</v>
      </c>
      <c r="J170" s="505"/>
      <c r="K170" s="1424"/>
      <c r="L170" s="149"/>
      <c r="M170" s="276"/>
      <c r="N170" s="269"/>
      <c r="O170" s="1548"/>
      <c r="P170" s="1548"/>
      <c r="AH170" s="1555">
        <v>0</v>
      </c>
    </row>
    <row r="171" spans="1:34" s="1559" customFormat="1" ht="0.75" hidden="1" customHeight="1">
      <c r="A171" s="1676"/>
      <c r="B171" s="1676"/>
      <c r="C171" s="303" t="s">
        <v>1363</v>
      </c>
      <c r="D171" s="4189"/>
      <c r="E171" s="3990"/>
      <c r="F171" s="4127"/>
      <c r="G171" s="334"/>
      <c r="H171" s="1424"/>
      <c r="I171" s="585"/>
      <c r="J171" s="505"/>
      <c r="K171" s="1424"/>
      <c r="L171" s="149"/>
      <c r="M171" s="276"/>
      <c r="N171" s="269"/>
      <c r="O171" s="1548"/>
      <c r="P171" s="1548"/>
      <c r="AH171" s="1555">
        <v>0</v>
      </c>
    </row>
    <row r="172" spans="1:34" s="1559" customFormat="1" ht="18.75" hidden="1" customHeight="1">
      <c r="A172" s="1676" t="s">
        <v>413</v>
      </c>
      <c r="B172" s="1676" t="s">
        <v>414</v>
      </c>
      <c r="C172" s="303"/>
      <c r="D172" s="4189"/>
      <c r="E172" s="3990"/>
      <c r="F172" s="4127" t="str">
        <f>INDEX(PT_DIFFERENTIATION_VTAR,MATCH(A172,PT_DIFFERENTIATION_VTAR_ID,0))</f>
        <v>Плата за подключение (технологическое присоединение) к системе теплоснабжения (индивидуальная)</v>
      </c>
      <c r="G172" s="4164" t="str">
        <f>INDEX(PT_DIFFERENTIATION_NTAR,MATCH(B172,PT_DIFFERENTIATION_NTAR_ID,0))</f>
        <v/>
      </c>
      <c r="H172" s="1881"/>
      <c r="I172" s="1635"/>
      <c r="J172" s="1669"/>
      <c r="K172" s="1674"/>
      <c r="L172" s="1881" t="s">
        <v>514</v>
      </c>
      <c r="M172" s="276"/>
      <c r="N172" s="269"/>
      <c r="O172" s="1548"/>
      <c r="P172" s="1548"/>
      <c r="AH172" s="1555">
        <v>0</v>
      </c>
    </row>
    <row r="173" spans="1:34" s="1559" customFormat="1" ht="18.75" hidden="1" customHeight="1">
      <c r="A173" s="1676"/>
      <c r="B173" s="1676"/>
      <c r="C173" s="303" t="s">
        <v>1354</v>
      </c>
      <c r="D173" s="4189"/>
      <c r="E173" s="3990"/>
      <c r="F173" s="4127"/>
      <c r="G173" s="4164"/>
      <c r="H173" s="1424"/>
      <c r="I173" s="585" t="s">
        <v>1353</v>
      </c>
      <c r="J173" s="505"/>
      <c r="K173" s="1424"/>
      <c r="L173" s="149"/>
      <c r="M173" s="276"/>
      <c r="N173" s="269"/>
      <c r="O173" s="1548"/>
      <c r="P173" s="1548"/>
      <c r="AH173" s="1555">
        <v>0</v>
      </c>
    </row>
    <row r="174" spans="1:34" s="1559" customFormat="1" ht="0.75" hidden="1" customHeight="1">
      <c r="A174" s="1676"/>
      <c r="B174" s="1676"/>
      <c r="C174" s="303" t="s">
        <v>1363</v>
      </c>
      <c r="D174" s="4189"/>
      <c r="E174" s="3990"/>
      <c r="F174" s="4127"/>
      <c r="G174" s="334"/>
      <c r="H174" s="1424"/>
      <c r="I174" s="585"/>
      <c r="J174" s="505"/>
      <c r="K174" s="1424"/>
      <c r="L174" s="149"/>
      <c r="M174" s="276"/>
      <c r="N174" s="269"/>
      <c r="O174" s="1548"/>
      <c r="P174" s="1548"/>
      <c r="AH174" s="1555">
        <v>0</v>
      </c>
    </row>
    <row r="175" spans="1:34" s="1559" customFormat="1" ht="18.75" hidden="1" customHeight="1">
      <c r="A175" s="1676" t="s">
        <v>433</v>
      </c>
      <c r="B175" s="1676" t="s">
        <v>434</v>
      </c>
      <c r="C175" s="303"/>
      <c r="D175" s="4189"/>
      <c r="E175" s="3990"/>
      <c r="F175" s="4127" t="str">
        <f>INDEX(PT_DIFFERENTIATION_VTAR,MATCH(A175,PT_DIFFERENTIATION_VTAR_ID,0))</f>
        <v>Тариф на питьевую воду (питьевое водоснабжение)</v>
      </c>
      <c r="G175" s="4164" t="str">
        <f>INDEX(PT_DIFFERENTIATION_NTAR,MATCH(B175,PT_DIFFERENTIATION_NTAR_ID,0))</f>
        <v/>
      </c>
      <c r="H175" s="1757"/>
      <c r="I175" s="1635"/>
      <c r="J175" s="1669"/>
      <c r="K175" s="1674"/>
      <c r="L175" s="1757" t="s">
        <v>514</v>
      </c>
      <c r="M175" s="276"/>
      <c r="N175" s="269"/>
      <c r="O175" s="1548"/>
      <c r="P175" s="1548"/>
      <c r="AH175" s="1555">
        <v>0</v>
      </c>
    </row>
    <row r="176" spans="1:34" s="1559" customFormat="1" ht="18.75" hidden="1" customHeight="1">
      <c r="A176" s="1676"/>
      <c r="B176" s="1676"/>
      <c r="C176" s="303" t="s">
        <v>1354</v>
      </c>
      <c r="D176" s="4189"/>
      <c r="E176" s="3990"/>
      <c r="F176" s="4127"/>
      <c r="G176" s="4164"/>
      <c r="H176" s="1424"/>
      <c r="I176" s="585" t="s">
        <v>1353</v>
      </c>
      <c r="J176" s="505"/>
      <c r="K176" s="1424"/>
      <c r="L176" s="149"/>
      <c r="M176" s="276"/>
      <c r="N176" s="269"/>
      <c r="O176" s="1548"/>
      <c r="P176" s="1548"/>
      <c r="AH176" s="1555">
        <v>0</v>
      </c>
    </row>
    <row r="177" spans="1:34" s="1559" customFormat="1" ht="0.75" hidden="1" customHeight="1">
      <c r="A177" s="1676"/>
      <c r="B177" s="1676"/>
      <c r="C177" s="303" t="s">
        <v>1363</v>
      </c>
      <c r="D177" s="4189"/>
      <c r="E177" s="3990"/>
      <c r="F177" s="4127"/>
      <c r="G177" s="334"/>
      <c r="H177" s="1424"/>
      <c r="I177" s="585"/>
      <c r="J177" s="505"/>
      <c r="K177" s="1424"/>
      <c r="L177" s="149"/>
      <c r="M177" s="276"/>
      <c r="N177" s="269"/>
      <c r="O177" s="1548"/>
      <c r="P177" s="1548"/>
      <c r="AH177" s="1555">
        <v>0</v>
      </c>
    </row>
    <row r="178" spans="1:34" s="1559" customFormat="1" ht="18.75" hidden="1" customHeight="1">
      <c r="A178" s="1676" t="s">
        <v>438</v>
      </c>
      <c r="B178" s="1676" t="s">
        <v>439</v>
      </c>
      <c r="C178" s="303"/>
      <c r="D178" s="4189"/>
      <c r="E178" s="3990"/>
      <c r="F178" s="4127" t="str">
        <f>INDEX(PT_DIFFERENTIATION_VTAR,MATCH(A178,PT_DIFFERENTIATION_VTAR_ID,0))</f>
        <v>Тариф на техническую воду</v>
      </c>
      <c r="G178" s="4164" t="str">
        <f>INDEX(PT_DIFFERENTIATION_NTAR,MATCH(B178,PT_DIFFERENTIATION_NTAR_ID,0))</f>
        <v/>
      </c>
      <c r="H178" s="1757"/>
      <c r="I178" s="1635"/>
      <c r="J178" s="1669"/>
      <c r="K178" s="1674"/>
      <c r="L178" s="1757" t="s">
        <v>514</v>
      </c>
      <c r="M178" s="276"/>
      <c r="N178" s="269"/>
      <c r="O178" s="1548"/>
      <c r="P178" s="1548"/>
      <c r="AH178" s="1555">
        <v>0</v>
      </c>
    </row>
    <row r="179" spans="1:34" s="1559" customFormat="1" ht="18.75" hidden="1" customHeight="1">
      <c r="A179" s="1676"/>
      <c r="B179" s="1676"/>
      <c r="C179" s="303" t="s">
        <v>1354</v>
      </c>
      <c r="D179" s="4189"/>
      <c r="E179" s="3990"/>
      <c r="F179" s="4127"/>
      <c r="G179" s="4164"/>
      <c r="H179" s="1424"/>
      <c r="I179" s="585" t="s">
        <v>1353</v>
      </c>
      <c r="J179" s="505"/>
      <c r="K179" s="1424"/>
      <c r="L179" s="149"/>
      <c r="M179" s="276"/>
      <c r="N179" s="269"/>
      <c r="O179" s="1548"/>
      <c r="P179" s="1548"/>
      <c r="AH179" s="1555">
        <v>0</v>
      </c>
    </row>
    <row r="180" spans="1:34" s="1559" customFormat="1" ht="0.75" hidden="1" customHeight="1">
      <c r="A180" s="1676"/>
      <c r="B180" s="1676"/>
      <c r="C180" s="303" t="s">
        <v>1363</v>
      </c>
      <c r="D180" s="4189"/>
      <c r="E180" s="3990"/>
      <c r="F180" s="4127"/>
      <c r="G180" s="334"/>
      <c r="H180" s="1424"/>
      <c r="I180" s="585"/>
      <c r="J180" s="505"/>
      <c r="K180" s="1424"/>
      <c r="L180" s="149"/>
      <c r="M180" s="276"/>
      <c r="N180" s="269"/>
      <c r="O180" s="1548"/>
      <c r="P180" s="1548"/>
      <c r="AH180" s="1555">
        <v>0</v>
      </c>
    </row>
    <row r="181" spans="1:34" s="1559" customFormat="1" ht="18.75" hidden="1" customHeight="1">
      <c r="A181" s="1676" t="s">
        <v>443</v>
      </c>
      <c r="B181" s="1676" t="s">
        <v>444</v>
      </c>
      <c r="C181" s="303"/>
      <c r="D181" s="4189"/>
      <c r="E181" s="3990"/>
      <c r="F181" s="4127" t="str">
        <f>INDEX(PT_DIFFERENTIATION_VTAR,MATCH(A181,PT_DIFFERENTIATION_VTAR_ID,0))</f>
        <v>Тариф на транспортировку воды</v>
      </c>
      <c r="G181" s="4164" t="str">
        <f>INDEX(PT_DIFFERENTIATION_NTAR,MATCH(B181,PT_DIFFERENTIATION_NTAR_ID,0))</f>
        <v/>
      </c>
      <c r="H181" s="1757"/>
      <c r="I181" s="1635"/>
      <c r="J181" s="1669"/>
      <c r="K181" s="1674"/>
      <c r="L181" s="1757" t="s">
        <v>514</v>
      </c>
      <c r="M181" s="276"/>
      <c r="N181" s="269"/>
      <c r="O181" s="1548"/>
      <c r="P181" s="1548"/>
      <c r="AH181" s="1555">
        <v>0</v>
      </c>
    </row>
    <row r="182" spans="1:34" s="1559" customFormat="1" ht="18.75" hidden="1" customHeight="1">
      <c r="A182" s="1676"/>
      <c r="B182" s="1676"/>
      <c r="C182" s="303" t="s">
        <v>1354</v>
      </c>
      <c r="D182" s="4189"/>
      <c r="E182" s="3990"/>
      <c r="F182" s="4127"/>
      <c r="G182" s="4164"/>
      <c r="H182" s="1424"/>
      <c r="I182" s="585" t="s">
        <v>1353</v>
      </c>
      <c r="J182" s="505"/>
      <c r="K182" s="1424"/>
      <c r="L182" s="149"/>
      <c r="M182" s="276"/>
      <c r="N182" s="269"/>
      <c r="O182" s="1548"/>
      <c r="P182" s="1548"/>
      <c r="AH182" s="1555">
        <v>0</v>
      </c>
    </row>
    <row r="183" spans="1:34" s="1559" customFormat="1" ht="0.75" hidden="1" customHeight="1">
      <c r="A183" s="1676"/>
      <c r="B183" s="1676"/>
      <c r="C183" s="303" t="s">
        <v>1363</v>
      </c>
      <c r="D183" s="4189"/>
      <c r="E183" s="3990"/>
      <c r="F183" s="4127"/>
      <c r="G183" s="334"/>
      <c r="H183" s="1424"/>
      <c r="I183" s="585"/>
      <c r="J183" s="505"/>
      <c r="K183" s="1424"/>
      <c r="L183" s="149"/>
      <c r="M183" s="276"/>
      <c r="N183" s="269"/>
      <c r="O183" s="1548"/>
      <c r="P183" s="1548"/>
      <c r="AH183" s="1555">
        <v>0</v>
      </c>
    </row>
    <row r="184" spans="1:34" s="1559" customFormat="1" ht="18.75" hidden="1" customHeight="1">
      <c r="A184" s="1676" t="s">
        <v>448</v>
      </c>
      <c r="B184" s="1676" t="s">
        <v>449</v>
      </c>
      <c r="C184" s="303"/>
      <c r="D184" s="4189"/>
      <c r="E184" s="3990"/>
      <c r="F184" s="4127" t="str">
        <f>INDEX(PT_DIFFERENTIATION_VTAR,MATCH(A184,PT_DIFFERENTIATION_VTAR_ID,0))</f>
        <v>Тариф на подвоз воды</v>
      </c>
      <c r="G184" s="4164" t="str">
        <f>INDEX(PT_DIFFERENTIATION_NTAR,MATCH(B184,PT_DIFFERENTIATION_NTAR_ID,0))</f>
        <v/>
      </c>
      <c r="H184" s="1757"/>
      <c r="I184" s="1635"/>
      <c r="J184" s="1669"/>
      <c r="K184" s="1674"/>
      <c r="L184" s="1757" t="s">
        <v>514</v>
      </c>
      <c r="M184" s="276"/>
      <c r="N184" s="269"/>
      <c r="O184" s="1548"/>
      <c r="P184" s="1548"/>
      <c r="AH184" s="1555">
        <v>0</v>
      </c>
    </row>
    <row r="185" spans="1:34" s="1559" customFormat="1" ht="18.75" hidden="1" customHeight="1">
      <c r="A185" s="1676"/>
      <c r="B185" s="1676"/>
      <c r="C185" s="303" t="s">
        <v>1354</v>
      </c>
      <c r="D185" s="4189"/>
      <c r="E185" s="3990"/>
      <c r="F185" s="4127"/>
      <c r="G185" s="4164"/>
      <c r="H185" s="1424"/>
      <c r="I185" s="585" t="s">
        <v>1353</v>
      </c>
      <c r="J185" s="505"/>
      <c r="K185" s="1424"/>
      <c r="L185" s="149"/>
      <c r="M185" s="276"/>
      <c r="N185" s="269"/>
      <c r="O185" s="1548"/>
      <c r="P185" s="1548"/>
      <c r="AH185" s="1555">
        <v>0</v>
      </c>
    </row>
    <row r="186" spans="1:34" s="1559" customFormat="1" ht="0.75" hidden="1" customHeight="1">
      <c r="A186" s="1676"/>
      <c r="B186" s="1676"/>
      <c r="C186" s="303" t="s">
        <v>1363</v>
      </c>
      <c r="D186" s="4189"/>
      <c r="E186" s="3990"/>
      <c r="F186" s="4127"/>
      <c r="G186" s="334"/>
      <c r="H186" s="1424"/>
      <c r="I186" s="585"/>
      <c r="J186" s="505"/>
      <c r="K186" s="1424"/>
      <c r="L186" s="149"/>
      <c r="M186" s="276"/>
      <c r="N186" s="269"/>
      <c r="O186" s="1548"/>
      <c r="P186" s="1548"/>
      <c r="AH186" s="1555">
        <v>0</v>
      </c>
    </row>
    <row r="187" spans="1:34" s="1559" customFormat="1" ht="18.75" hidden="1" customHeight="1">
      <c r="A187" s="1676" t="s">
        <v>453</v>
      </c>
      <c r="B187" s="1676" t="s">
        <v>454</v>
      </c>
      <c r="C187" s="303"/>
      <c r="D187" s="4189"/>
      <c r="E187" s="3990"/>
      <c r="F187" s="412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4164" t="str">
        <f>INDEX(PT_DIFFERENTIATION_NTAR,MATCH(B187,PT_DIFFERENTIATION_NTAR_ID,0))</f>
        <v/>
      </c>
      <c r="H187" s="1757"/>
      <c r="I187" s="1635"/>
      <c r="J187" s="1669"/>
      <c r="K187" s="1674"/>
      <c r="L187" s="1757" t="s">
        <v>514</v>
      </c>
      <c r="M187" s="276"/>
      <c r="N187" s="269"/>
      <c r="O187" s="1548"/>
      <c r="P187" s="1548"/>
      <c r="AH187" s="1555">
        <v>0</v>
      </c>
    </row>
    <row r="188" spans="1:34" s="1559" customFormat="1" ht="18.75" hidden="1" customHeight="1">
      <c r="A188" s="1676"/>
      <c r="B188" s="1676"/>
      <c r="C188" s="303" t="s">
        <v>1354</v>
      </c>
      <c r="D188" s="4189"/>
      <c r="E188" s="3990"/>
      <c r="F188" s="4127"/>
      <c r="G188" s="4164"/>
      <c r="H188" s="1424"/>
      <c r="I188" s="585" t="s">
        <v>1353</v>
      </c>
      <c r="J188" s="505"/>
      <c r="K188" s="1424"/>
      <c r="L188" s="149"/>
      <c r="M188" s="276"/>
      <c r="N188" s="269"/>
      <c r="O188" s="1548"/>
      <c r="P188" s="1548"/>
      <c r="AH188" s="1555">
        <v>0</v>
      </c>
    </row>
    <row r="189" spans="1:34" s="1559" customFormat="1" ht="0.75" hidden="1" customHeight="1">
      <c r="A189" s="1676"/>
      <c r="B189" s="1676"/>
      <c r="C189" s="303" t="s">
        <v>1363</v>
      </c>
      <c r="D189" s="4189"/>
      <c r="E189" s="3990"/>
      <c r="F189" s="4127"/>
      <c r="G189" s="334"/>
      <c r="H189" s="1424"/>
      <c r="I189" s="585"/>
      <c r="J189" s="505"/>
      <c r="K189" s="1424"/>
      <c r="L189" s="149"/>
      <c r="M189" s="276"/>
      <c r="N189" s="269"/>
      <c r="O189" s="1548"/>
      <c r="P189" s="1548"/>
      <c r="AH189" s="1555">
        <v>0</v>
      </c>
    </row>
    <row r="190" spans="1:34" s="1559" customFormat="1" ht="18.75" hidden="1" customHeight="1">
      <c r="A190" s="1676" t="s">
        <v>458</v>
      </c>
      <c r="B190" s="1676" t="s">
        <v>459</v>
      </c>
      <c r="C190" s="303"/>
      <c r="D190" s="4189"/>
      <c r="E190" s="3990"/>
      <c r="F190" s="4127" t="str">
        <f>INDEX(PT_DIFFERENTIATION_VTAR,MATCH(A190,PT_DIFFERENTIATION_VTAR_ID,0))</f>
        <v>Тариф на горячую воду (горячее водоснабжение)</v>
      </c>
      <c r="G190" s="4164" t="str">
        <f>INDEX(PT_DIFFERENTIATION_NTAR,MATCH(B190,PT_DIFFERENTIATION_NTAR_ID,0))</f>
        <v/>
      </c>
      <c r="H190" s="1757"/>
      <c r="I190" s="1635"/>
      <c r="J190" s="1669"/>
      <c r="K190" s="1674"/>
      <c r="L190" s="1757" t="s">
        <v>514</v>
      </c>
      <c r="M190" s="276"/>
      <c r="N190" s="269"/>
      <c r="O190" s="1548"/>
      <c r="P190" s="1548"/>
      <c r="AH190" s="1555">
        <v>0</v>
      </c>
    </row>
    <row r="191" spans="1:34" s="1559" customFormat="1" ht="18.75" hidden="1" customHeight="1">
      <c r="A191" s="1676"/>
      <c r="B191" s="1676"/>
      <c r="C191" s="303" t="s">
        <v>1354</v>
      </c>
      <c r="D191" s="4189"/>
      <c r="E191" s="3990"/>
      <c r="F191" s="4127"/>
      <c r="G191" s="4164"/>
      <c r="H191" s="1424"/>
      <c r="I191" s="585" t="s">
        <v>1353</v>
      </c>
      <c r="J191" s="505"/>
      <c r="K191" s="1424"/>
      <c r="L191" s="149"/>
      <c r="M191" s="276"/>
      <c r="N191" s="269"/>
      <c r="O191" s="1548"/>
      <c r="P191" s="1548"/>
      <c r="AH191" s="1555">
        <v>0</v>
      </c>
    </row>
    <row r="192" spans="1:34" s="1559" customFormat="1" ht="0.75" hidden="1" customHeight="1">
      <c r="A192" s="1676"/>
      <c r="B192" s="1676"/>
      <c r="C192" s="303" t="s">
        <v>1363</v>
      </c>
      <c r="D192" s="4189"/>
      <c r="E192" s="3990"/>
      <c r="F192" s="4127"/>
      <c r="G192" s="334"/>
      <c r="H192" s="1424"/>
      <c r="I192" s="585"/>
      <c r="J192" s="505"/>
      <c r="K192" s="1424"/>
      <c r="L192" s="149"/>
      <c r="M192" s="276"/>
      <c r="N192" s="269"/>
      <c r="O192" s="1548"/>
      <c r="P192" s="1548"/>
      <c r="AH192" s="1555">
        <v>0</v>
      </c>
    </row>
    <row r="193" spans="1:34" s="1559" customFormat="1" ht="18.75" hidden="1" customHeight="1">
      <c r="A193" s="1676" t="s">
        <v>463</v>
      </c>
      <c r="B193" s="1676" t="s">
        <v>464</v>
      </c>
      <c r="C193" s="303"/>
      <c r="D193" s="4189"/>
      <c r="E193" s="3990"/>
      <c r="F193" s="4127" t="str">
        <f>INDEX(PT_DIFFERENTIATION_VTAR,MATCH(A193,PT_DIFFERENTIATION_VTAR_ID,0))</f>
        <v>Тариф на транспортировку горячей воды</v>
      </c>
      <c r="G193" s="4164" t="str">
        <f>INDEX(PT_DIFFERENTIATION_NTAR,MATCH(B193,PT_DIFFERENTIATION_NTAR_ID,0))</f>
        <v/>
      </c>
      <c r="H193" s="1757"/>
      <c r="I193" s="1635"/>
      <c r="J193" s="1669"/>
      <c r="K193" s="1674"/>
      <c r="L193" s="1757" t="s">
        <v>514</v>
      </c>
      <c r="M193" s="276"/>
      <c r="N193" s="269"/>
      <c r="O193" s="1548"/>
      <c r="P193" s="1548"/>
      <c r="AH193" s="1555">
        <v>0</v>
      </c>
    </row>
    <row r="194" spans="1:34" s="1559" customFormat="1" ht="18.75" hidden="1" customHeight="1">
      <c r="A194" s="1676"/>
      <c r="B194" s="1676"/>
      <c r="C194" s="303" t="s">
        <v>1354</v>
      </c>
      <c r="D194" s="4189"/>
      <c r="E194" s="3990"/>
      <c r="F194" s="4127"/>
      <c r="G194" s="4164"/>
      <c r="H194" s="1424"/>
      <c r="I194" s="585" t="s">
        <v>1353</v>
      </c>
      <c r="J194" s="505"/>
      <c r="K194" s="1424"/>
      <c r="L194" s="149"/>
      <c r="M194" s="276"/>
      <c r="N194" s="269"/>
      <c r="O194" s="1548"/>
      <c r="P194" s="1548"/>
      <c r="AH194" s="1555">
        <v>0</v>
      </c>
    </row>
    <row r="195" spans="1:34" s="1559" customFormat="1" ht="0.75" hidden="1" customHeight="1">
      <c r="A195" s="1676"/>
      <c r="B195" s="1676"/>
      <c r="C195" s="303" t="s">
        <v>1363</v>
      </c>
      <c r="D195" s="4189"/>
      <c r="E195" s="3990"/>
      <c r="F195" s="4127"/>
      <c r="G195" s="334"/>
      <c r="H195" s="1424"/>
      <c r="I195" s="585"/>
      <c r="J195" s="505"/>
      <c r="K195" s="1424"/>
      <c r="L195" s="149"/>
      <c r="M195" s="276"/>
      <c r="N195" s="269"/>
      <c r="O195" s="1548"/>
      <c r="P195" s="1548"/>
      <c r="AH195" s="1555">
        <v>0</v>
      </c>
    </row>
    <row r="196" spans="1:34" s="1559" customFormat="1" ht="18.75" hidden="1" customHeight="1">
      <c r="A196" s="1676" t="s">
        <v>468</v>
      </c>
      <c r="B196" s="1676" t="s">
        <v>469</v>
      </c>
      <c r="C196" s="303"/>
      <c r="D196" s="4189"/>
      <c r="E196" s="3990"/>
      <c r="F196" s="4127" t="str">
        <f>INDEX(PT_DIFFERENTIATION_VTAR,MATCH(A196,PT_DIFFERENTIATION_VTAR_ID,0))</f>
        <v>Тариф на подключение (технологическое присоединение) к централизованной системе горячего водоснабжения</v>
      </c>
      <c r="G196" s="4164" t="str">
        <f>INDEX(PT_DIFFERENTIATION_NTAR,MATCH(B196,PT_DIFFERENTIATION_NTAR_ID,0))</f>
        <v/>
      </c>
      <c r="H196" s="1757"/>
      <c r="I196" s="1635"/>
      <c r="J196" s="1669"/>
      <c r="K196" s="1674"/>
      <c r="L196" s="1757" t="s">
        <v>514</v>
      </c>
      <c r="M196" s="276"/>
      <c r="N196" s="269"/>
      <c r="O196" s="1548"/>
      <c r="P196" s="1548"/>
      <c r="AH196" s="1555">
        <v>0</v>
      </c>
    </row>
    <row r="197" spans="1:34" s="1559" customFormat="1" ht="18.75" hidden="1" customHeight="1">
      <c r="A197" s="1676"/>
      <c r="B197" s="1676"/>
      <c r="C197" s="303" t="s">
        <v>1354</v>
      </c>
      <c r="D197" s="4189"/>
      <c r="E197" s="3990"/>
      <c r="F197" s="4127"/>
      <c r="G197" s="4164"/>
      <c r="H197" s="1424"/>
      <c r="I197" s="585" t="s">
        <v>1353</v>
      </c>
      <c r="J197" s="505"/>
      <c r="K197" s="1424"/>
      <c r="L197" s="149"/>
      <c r="M197" s="276"/>
      <c r="N197" s="269"/>
      <c r="O197" s="1548"/>
      <c r="P197" s="1548"/>
      <c r="AH197" s="1555">
        <v>0</v>
      </c>
    </row>
    <row r="198" spans="1:34" s="1559" customFormat="1" ht="0.75" hidden="1" customHeight="1">
      <c r="A198" s="1676"/>
      <c r="B198" s="1676"/>
      <c r="C198" s="303" t="s">
        <v>1363</v>
      </c>
      <c r="D198" s="4189"/>
      <c r="E198" s="3990"/>
      <c r="F198" s="4127"/>
      <c r="G198" s="334"/>
      <c r="H198" s="1424"/>
      <c r="I198" s="585"/>
      <c r="J198" s="505"/>
      <c r="K198" s="1424"/>
      <c r="L198" s="149"/>
      <c r="M198" s="276"/>
      <c r="N198" s="269"/>
      <c r="O198" s="1548"/>
      <c r="P198" s="1548"/>
      <c r="AH198" s="1555">
        <v>0</v>
      </c>
    </row>
    <row r="199" spans="1:34" s="1559" customFormat="1" ht="18.75" hidden="1" customHeight="1">
      <c r="A199" s="1676" t="s">
        <v>473</v>
      </c>
      <c r="B199" s="1676" t="s">
        <v>474</v>
      </c>
      <c r="C199" s="303"/>
      <c r="D199" s="4189"/>
      <c r="E199" s="3990"/>
      <c r="F199" s="4127" t="str">
        <f>INDEX(PT_DIFFERENTIATION_VTAR,MATCH(A199,PT_DIFFERENTIATION_VTAR_ID,0))</f>
        <v>Тариф на водоотведение</v>
      </c>
      <c r="G199" s="4164" t="str">
        <f>INDEX(PT_DIFFERENTIATION_NTAR,MATCH(B199,PT_DIFFERENTIATION_NTAR_ID,0))</f>
        <v/>
      </c>
      <c r="H199" s="1757"/>
      <c r="I199" s="1635"/>
      <c r="J199" s="1669"/>
      <c r="K199" s="1674"/>
      <c r="L199" s="1757" t="s">
        <v>514</v>
      </c>
      <c r="M199" s="276"/>
      <c r="N199" s="269"/>
      <c r="O199" s="1548"/>
      <c r="P199" s="1548"/>
      <c r="AH199" s="1555">
        <v>0</v>
      </c>
    </row>
    <row r="200" spans="1:34" s="1559" customFormat="1" ht="18.75" hidden="1" customHeight="1">
      <c r="A200" s="1676"/>
      <c r="B200" s="1676"/>
      <c r="C200" s="303" t="s">
        <v>1354</v>
      </c>
      <c r="D200" s="4189"/>
      <c r="E200" s="3990"/>
      <c r="F200" s="4127"/>
      <c r="G200" s="4164"/>
      <c r="H200" s="1424"/>
      <c r="I200" s="585" t="s">
        <v>1353</v>
      </c>
      <c r="J200" s="505"/>
      <c r="K200" s="1424"/>
      <c r="L200" s="149"/>
      <c r="M200" s="276"/>
      <c r="N200" s="269"/>
      <c r="O200" s="1548"/>
      <c r="P200" s="1548"/>
      <c r="AH200" s="1555">
        <v>0</v>
      </c>
    </row>
    <row r="201" spans="1:34" s="1559" customFormat="1" ht="0.75" hidden="1" customHeight="1">
      <c r="A201" s="1676"/>
      <c r="B201" s="1676"/>
      <c r="C201" s="303" t="s">
        <v>1363</v>
      </c>
      <c r="D201" s="4189"/>
      <c r="E201" s="3990"/>
      <c r="F201" s="4127"/>
      <c r="G201" s="334"/>
      <c r="H201" s="1424"/>
      <c r="I201" s="585"/>
      <c r="J201" s="505"/>
      <c r="K201" s="1424"/>
      <c r="L201" s="149"/>
      <c r="M201" s="276"/>
      <c r="N201" s="269"/>
      <c r="O201" s="1548"/>
      <c r="P201" s="1548"/>
      <c r="AH201" s="1555">
        <v>0</v>
      </c>
    </row>
    <row r="202" spans="1:34" s="1559" customFormat="1" ht="18.75" hidden="1" customHeight="1">
      <c r="A202" s="1676" t="s">
        <v>478</v>
      </c>
      <c r="B202" s="1676" t="s">
        <v>479</v>
      </c>
      <c r="C202" s="303"/>
      <c r="D202" s="4189"/>
      <c r="E202" s="3990"/>
      <c r="F202" s="4127" t="str">
        <f>INDEX(PT_DIFFERENTIATION_VTAR,MATCH(A202,PT_DIFFERENTIATION_VTAR_ID,0))</f>
        <v>Тариф на транспортировку сточных вод</v>
      </c>
      <c r="G202" s="4164" t="str">
        <f>INDEX(PT_DIFFERENTIATION_NTAR,MATCH(B202,PT_DIFFERENTIATION_NTAR_ID,0))</f>
        <v/>
      </c>
      <c r="H202" s="1757"/>
      <c r="I202" s="1635"/>
      <c r="J202" s="1669"/>
      <c r="K202" s="1674"/>
      <c r="L202" s="1757" t="s">
        <v>514</v>
      </c>
      <c r="M202" s="276"/>
      <c r="N202" s="269"/>
      <c r="O202" s="1548"/>
      <c r="P202" s="1548"/>
      <c r="AH202" s="1555">
        <v>0</v>
      </c>
    </row>
    <row r="203" spans="1:34" s="1559" customFormat="1" ht="18.75" hidden="1" customHeight="1">
      <c r="A203" s="1676"/>
      <c r="B203" s="1676"/>
      <c r="C203" s="303" t="s">
        <v>1354</v>
      </c>
      <c r="D203" s="4189"/>
      <c r="E203" s="3990"/>
      <c r="F203" s="4127"/>
      <c r="G203" s="4164"/>
      <c r="H203" s="1424"/>
      <c r="I203" s="585" t="s">
        <v>1353</v>
      </c>
      <c r="J203" s="505"/>
      <c r="K203" s="1424"/>
      <c r="L203" s="149"/>
      <c r="M203" s="276"/>
      <c r="N203" s="269"/>
      <c r="O203" s="1548"/>
      <c r="P203" s="1548"/>
      <c r="AH203" s="1555">
        <v>0</v>
      </c>
    </row>
    <row r="204" spans="1:34" s="1559" customFormat="1" ht="0.75" hidden="1" customHeight="1">
      <c r="A204" s="1676"/>
      <c r="B204" s="1676"/>
      <c r="C204" s="303" t="s">
        <v>1363</v>
      </c>
      <c r="D204" s="4189"/>
      <c r="E204" s="3990"/>
      <c r="F204" s="4127"/>
      <c r="G204" s="334"/>
      <c r="H204" s="1424"/>
      <c r="I204" s="585"/>
      <c r="J204" s="505"/>
      <c r="K204" s="1424"/>
      <c r="L204" s="149"/>
      <c r="M204" s="276"/>
      <c r="N204" s="269"/>
      <c r="O204" s="1548"/>
      <c r="P204" s="1548"/>
      <c r="AH204" s="1555">
        <v>0</v>
      </c>
    </row>
    <row r="205" spans="1:34" s="1559" customFormat="1" ht="18.75" hidden="1" customHeight="1">
      <c r="A205" s="1676" t="s">
        <v>483</v>
      </c>
      <c r="B205" s="1676" t="s">
        <v>484</v>
      </c>
      <c r="C205" s="303"/>
      <c r="D205" s="4189"/>
      <c r="E205" s="3990"/>
      <c r="F205" s="4127" t="str">
        <f>INDEX(PT_DIFFERENTIATION_VTAR,MATCH(A205,PT_DIFFERENTIATION_VTAR_ID,0))</f>
        <v>Тариф на подключение (технологическое присоединение) к централизованной системе водоотведения</v>
      </c>
      <c r="G205" s="4164" t="str">
        <f>INDEX(PT_DIFFERENTIATION_NTAR,MATCH(B205,PT_DIFFERENTIATION_NTAR_ID,0))</f>
        <v/>
      </c>
      <c r="H205" s="1757"/>
      <c r="I205" s="1635"/>
      <c r="J205" s="1669"/>
      <c r="K205" s="1674"/>
      <c r="L205" s="1757" t="s">
        <v>514</v>
      </c>
      <c r="M205" s="276"/>
      <c r="N205" s="269"/>
      <c r="O205" s="1548"/>
      <c r="P205" s="1548"/>
      <c r="AH205" s="1555">
        <v>0</v>
      </c>
    </row>
    <row r="206" spans="1:34" s="1559" customFormat="1" ht="18.75" hidden="1" customHeight="1">
      <c r="A206" s="1676"/>
      <c r="B206" s="1676"/>
      <c r="C206" s="303" t="s">
        <v>1354</v>
      </c>
      <c r="D206" s="4189"/>
      <c r="E206" s="3990"/>
      <c r="F206" s="4127"/>
      <c r="G206" s="4164"/>
      <c r="H206" s="1424"/>
      <c r="I206" s="585" t="s">
        <v>1353</v>
      </c>
      <c r="J206" s="505"/>
      <c r="K206" s="1424"/>
      <c r="L206" s="149"/>
      <c r="M206" s="276"/>
      <c r="N206" s="269"/>
      <c r="O206" s="1548"/>
      <c r="P206" s="1548"/>
      <c r="AH206" s="1555">
        <v>0</v>
      </c>
    </row>
    <row r="207" spans="1:34" s="1559" customFormat="1" ht="1.1499999999999999" customHeight="1">
      <c r="A207" s="1676"/>
      <c r="B207" s="1676"/>
      <c r="C207" s="303" t="s">
        <v>1363</v>
      </c>
      <c r="D207" s="4189"/>
      <c r="E207" s="3990"/>
      <c r="F207" s="4127"/>
      <c r="G207" s="334"/>
      <c r="H207" s="1424"/>
      <c r="I207" s="585"/>
      <c r="J207" s="505"/>
      <c r="K207" s="1424"/>
      <c r="L207" s="149"/>
      <c r="M207" s="276"/>
      <c r="N207" s="269"/>
      <c r="O207" s="1548"/>
      <c r="P207" s="1548"/>
      <c r="AH207" s="1555">
        <v>1</v>
      </c>
    </row>
    <row r="208" spans="1:34" ht="27.4" customHeight="1">
      <c r="A208" s="1676"/>
      <c r="B208" s="1676"/>
      <c r="D208" s="310"/>
      <c r="E208" s="83" t="s">
        <v>115</v>
      </c>
      <c r="F208" s="418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4188"/>
      <c r="H208" s="4188"/>
      <c r="I208" s="4188"/>
      <c r="J208" s="4188"/>
      <c r="K208" s="4188"/>
      <c r="L208" s="4188"/>
      <c r="M208" s="232"/>
      <c r="N208" s="269"/>
      <c r="AH208" s="308">
        <v>26</v>
      </c>
    </row>
    <row r="209" spans="1:34" s="1559" customFormat="1" ht="60.75" hidden="1" customHeight="1">
      <c r="A209" s="1676" t="s">
        <v>221</v>
      </c>
      <c r="B209" s="1676" t="s">
        <v>222</v>
      </c>
      <c r="C209" s="303"/>
      <c r="D209" s="4189"/>
      <c r="E209" s="3990"/>
      <c r="F209" s="412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4164" t="str">
        <f>INDEX(PT_DIFFERENTIATION_NTAR,MATCH(B209,PT_DIFFERENTIATION_NTAR_ID,0))</f>
        <v/>
      </c>
      <c r="H209" s="1757"/>
      <c r="I209" s="1635"/>
      <c r="J209" s="1669"/>
      <c r="K209" s="1674"/>
      <c r="L209" s="1757" t="s">
        <v>514</v>
      </c>
      <c r="M209" s="39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48"/>
      <c r="P209" s="1548"/>
      <c r="AH209" s="1555">
        <v>0</v>
      </c>
    </row>
    <row r="210" spans="1:34" s="1559" customFormat="1" ht="18.75" hidden="1" customHeight="1">
      <c r="A210" s="1676"/>
      <c r="B210" s="1676"/>
      <c r="C210" s="303" t="s">
        <v>1354</v>
      </c>
      <c r="D210" s="4189"/>
      <c r="E210" s="3990"/>
      <c r="F210" s="4127"/>
      <c r="G210" s="4164"/>
      <c r="H210" s="1424"/>
      <c r="I210" s="585" t="s">
        <v>1353</v>
      </c>
      <c r="J210" s="505"/>
      <c r="K210" s="1424"/>
      <c r="L210" s="149"/>
      <c r="M210" s="3936"/>
      <c r="N210" s="269"/>
      <c r="O210" s="1548"/>
      <c r="P210" s="1548"/>
      <c r="AH210" s="1555">
        <v>0</v>
      </c>
    </row>
    <row r="211" spans="1:34" s="1559" customFormat="1" ht="0.75" hidden="1" customHeight="1">
      <c r="A211" s="1676"/>
      <c r="B211" s="1676"/>
      <c r="C211" s="303" t="s">
        <v>1363</v>
      </c>
      <c r="D211" s="4189"/>
      <c r="E211" s="3990"/>
      <c r="F211" s="4127"/>
      <c r="G211" s="334"/>
      <c r="H211" s="1424"/>
      <c r="I211" s="585"/>
      <c r="J211" s="505"/>
      <c r="K211" s="1424"/>
      <c r="L211" s="149"/>
      <c r="M211" s="3936"/>
      <c r="N211" s="269"/>
      <c r="O211" s="1548"/>
      <c r="P211" s="1548"/>
      <c r="AH211" s="1555">
        <v>0</v>
      </c>
    </row>
    <row r="212" spans="1:34" s="1559" customFormat="1" ht="57" customHeight="1">
      <c r="A212" s="1676" t="s">
        <v>230</v>
      </c>
      <c r="B212" s="1676" t="s">
        <v>231</v>
      </c>
      <c r="C212" s="303"/>
      <c r="D212" s="4189"/>
      <c r="E212" s="3990"/>
      <c r="F212" s="4127"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4164" t="str">
        <f>INDEX(PT_DIFFERENTIATION_NTAR,MATCH(B212,PT_DIFFERENTIATION_NTAR_ID,0))</f>
        <v>Тариф на тепловую энергию (мощность), поставляемую потребителям</v>
      </c>
      <c r="H212" s="1757"/>
      <c r="I212" s="1635">
        <v>46023.462418981479</v>
      </c>
      <c r="J212" s="1669">
        <v>46387.462511574071</v>
      </c>
      <c r="K212" s="1674">
        <v>111246.41</v>
      </c>
      <c r="L212" s="1757" t="s">
        <v>514</v>
      </c>
      <c r="M212" s="3937"/>
      <c r="N212" s="269"/>
      <c r="O212" s="1548"/>
      <c r="P212" s="1548"/>
      <c r="AH212" s="1555">
        <v>0</v>
      </c>
    </row>
    <row r="213" spans="1:34" s="1559" customFormat="1" ht="18.75" customHeight="1">
      <c r="A213" s="1676"/>
      <c r="B213" s="1676"/>
      <c r="C213" s="303" t="s">
        <v>1354</v>
      </c>
      <c r="D213" s="4189"/>
      <c r="E213" s="3990"/>
      <c r="F213" s="4127"/>
      <c r="G213" s="4164"/>
      <c r="H213" s="1424"/>
      <c r="I213" s="585" t="s">
        <v>1353</v>
      </c>
      <c r="J213" s="505"/>
      <c r="K213" s="1424"/>
      <c r="L213" s="149"/>
      <c r="M213" s="1756"/>
      <c r="N213" s="269"/>
      <c r="O213" s="1548"/>
      <c r="P213" s="1548"/>
      <c r="AH213" s="1555">
        <v>0</v>
      </c>
    </row>
    <row r="214" spans="1:34" s="1559" customFormat="1" ht="0.75" customHeight="1">
      <c r="A214" s="1676"/>
      <c r="B214" s="1676"/>
      <c r="C214" s="303" t="s">
        <v>1363</v>
      </c>
      <c r="D214" s="4189"/>
      <c r="E214" s="3990"/>
      <c r="F214" s="4127"/>
      <c r="G214" s="334"/>
      <c r="H214" s="1424"/>
      <c r="I214" s="585"/>
      <c r="J214" s="505"/>
      <c r="K214" s="1424"/>
      <c r="L214" s="149"/>
      <c r="M214" s="276"/>
      <c r="N214" s="269"/>
      <c r="O214" s="1548"/>
      <c r="P214" s="1548"/>
      <c r="AH214" s="1555">
        <v>0</v>
      </c>
    </row>
    <row r="215" spans="1:34" s="1559" customFormat="1" ht="45" customHeight="1">
      <c r="A215" s="1676" t="s">
        <v>292</v>
      </c>
      <c r="B215" s="1676" t="s">
        <v>293</v>
      </c>
      <c r="C215" s="303"/>
      <c r="D215" s="4189"/>
      <c r="E215" s="3990"/>
      <c r="F215" s="412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4164" t="str">
        <f>INDEX(PT_DIFFERENTIATION_NTAR,MATCH(B215,PT_DIFFERENTIATION_NTAR_ID,0))</f>
        <v>Тариф на теплоноситель, посталяемый потребителям</v>
      </c>
      <c r="H215" s="1757"/>
      <c r="I215" s="1635">
        <v>46023.462569444448</v>
      </c>
      <c r="J215" s="1669">
        <v>46387.462638888886</v>
      </c>
      <c r="K215" s="1674">
        <v>0</v>
      </c>
      <c r="L215" s="1757" t="s">
        <v>514</v>
      </c>
      <c r="M215" s="276"/>
      <c r="N215" s="269"/>
      <c r="O215" s="1548"/>
      <c r="P215" s="1548"/>
      <c r="AH215" s="1555">
        <v>0</v>
      </c>
    </row>
    <row r="216" spans="1:34" s="1559" customFormat="1" ht="18.75" customHeight="1">
      <c r="A216" s="1676"/>
      <c r="B216" s="1676"/>
      <c r="C216" s="303" t="s">
        <v>1354</v>
      </c>
      <c r="D216" s="4189"/>
      <c r="E216" s="3990"/>
      <c r="F216" s="4127"/>
      <c r="G216" s="4164"/>
      <c r="H216" s="1424"/>
      <c r="I216" s="585" t="s">
        <v>1353</v>
      </c>
      <c r="J216" s="505"/>
      <c r="K216" s="1424"/>
      <c r="L216" s="149"/>
      <c r="M216" s="276"/>
      <c r="N216" s="269"/>
      <c r="O216" s="1548"/>
      <c r="P216" s="1548"/>
      <c r="AH216" s="1555">
        <v>0</v>
      </c>
    </row>
    <row r="217" spans="1:34" s="1559" customFormat="1" ht="0.75" customHeight="1">
      <c r="A217" s="1676"/>
      <c r="B217" s="1676"/>
      <c r="C217" s="303" t="s">
        <v>1363</v>
      </c>
      <c r="D217" s="4189"/>
      <c r="E217" s="3990"/>
      <c r="F217" s="4127"/>
      <c r="G217" s="334"/>
      <c r="H217" s="1424"/>
      <c r="I217" s="585"/>
      <c r="J217" s="505"/>
      <c r="K217" s="1424"/>
      <c r="L217" s="149"/>
      <c r="M217" s="276"/>
      <c r="N217" s="269"/>
      <c r="O217" s="1548"/>
      <c r="P217" s="1548"/>
      <c r="AH217" s="1555">
        <v>0</v>
      </c>
    </row>
    <row r="218" spans="1:34" s="1559" customFormat="1" ht="45" customHeight="1">
      <c r="A218" s="1676" t="s">
        <v>383</v>
      </c>
      <c r="B218" s="1676" t="s">
        <v>384</v>
      </c>
      <c r="C218" s="303"/>
      <c r="D218" s="4189"/>
      <c r="E218" s="3990"/>
      <c r="F218" s="412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4164" t="str">
        <f>INDEX(PT_DIFFERENTIATION_NTAR,MATCH(B218,PT_DIFFERENTIATION_NTAR_ID,0))</f>
        <v>Тариф на горячую воду с использованиемоткрытой системы горячего водоснабжения</v>
      </c>
      <c r="H218" s="1757"/>
      <c r="I218" s="1635">
        <v>46023.462731481479</v>
      </c>
      <c r="J218" s="1669">
        <v>46387.462824074071</v>
      </c>
      <c r="K218" s="1674">
        <v>0</v>
      </c>
      <c r="L218" s="1757" t="s">
        <v>514</v>
      </c>
      <c r="M218" s="276"/>
      <c r="N218" s="269"/>
      <c r="O218" s="1548"/>
      <c r="P218" s="1548"/>
      <c r="AH218" s="1555">
        <v>0</v>
      </c>
    </row>
    <row r="219" spans="1:34" s="1559" customFormat="1" ht="18.75" customHeight="1">
      <c r="A219" s="1676"/>
      <c r="B219" s="1676"/>
      <c r="C219" s="303" t="s">
        <v>1354</v>
      </c>
      <c r="D219" s="4189"/>
      <c r="E219" s="3990"/>
      <c r="F219" s="4127"/>
      <c r="G219" s="4164"/>
      <c r="H219" s="1424"/>
      <c r="I219" s="585" t="s">
        <v>1353</v>
      </c>
      <c r="J219" s="505"/>
      <c r="K219" s="1424"/>
      <c r="L219" s="149"/>
      <c r="M219" s="276"/>
      <c r="N219" s="269"/>
      <c r="O219" s="1548"/>
      <c r="P219" s="1548"/>
      <c r="AH219" s="1555">
        <v>0</v>
      </c>
    </row>
    <row r="220" spans="1:34" s="1559" customFormat="1" ht="0.75" customHeight="1">
      <c r="A220" s="1676"/>
      <c r="B220" s="1676"/>
      <c r="C220" s="303" t="s">
        <v>1363</v>
      </c>
      <c r="D220" s="4189"/>
      <c r="E220" s="3990"/>
      <c r="F220" s="4127"/>
      <c r="G220" s="334"/>
      <c r="H220" s="1424"/>
      <c r="I220" s="585"/>
      <c r="J220" s="505"/>
      <c r="K220" s="1424"/>
      <c r="L220" s="149"/>
      <c r="M220" s="276"/>
      <c r="N220" s="269"/>
      <c r="O220" s="1548"/>
      <c r="P220" s="1548"/>
      <c r="AH220" s="1555">
        <v>0</v>
      </c>
    </row>
    <row r="221" spans="1:34" s="1559" customFormat="1" ht="18.75" hidden="1" customHeight="1">
      <c r="A221" s="1676" t="s">
        <v>389</v>
      </c>
      <c r="B221" s="1676" t="s">
        <v>390</v>
      </c>
      <c r="C221" s="303"/>
      <c r="D221" s="4189"/>
      <c r="E221" s="3990"/>
      <c r="F221" s="4127" t="str">
        <f>INDEX(PT_DIFFERENTIATION_VTAR,MATCH(A221,PT_DIFFERENTIATION_VTAR_ID,0))</f>
        <v>Тарифы на услуги по передаче тепловой энергии</v>
      </c>
      <c r="G221" s="4164" t="str">
        <f>INDEX(PT_DIFFERENTIATION_NTAR,MATCH(B221,PT_DIFFERENTIATION_NTAR_ID,0))</f>
        <v/>
      </c>
      <c r="H221" s="1757"/>
      <c r="I221" s="1635"/>
      <c r="J221" s="1669"/>
      <c r="K221" s="1674"/>
      <c r="L221" s="1757" t="s">
        <v>514</v>
      </c>
      <c r="M221" s="276"/>
      <c r="N221" s="269"/>
      <c r="O221" s="1548"/>
      <c r="P221" s="1548"/>
      <c r="AH221" s="1555">
        <v>0</v>
      </c>
    </row>
    <row r="222" spans="1:34" s="1559" customFormat="1" ht="18.75" hidden="1" customHeight="1">
      <c r="A222" s="1676"/>
      <c r="B222" s="1676"/>
      <c r="C222" s="303" t="s">
        <v>1354</v>
      </c>
      <c r="D222" s="4189"/>
      <c r="E222" s="3990"/>
      <c r="F222" s="4127"/>
      <c r="G222" s="4164"/>
      <c r="H222" s="1424"/>
      <c r="I222" s="585" t="s">
        <v>1353</v>
      </c>
      <c r="J222" s="505"/>
      <c r="K222" s="1424"/>
      <c r="L222" s="149"/>
      <c r="M222" s="276"/>
      <c r="N222" s="269"/>
      <c r="O222" s="1548"/>
      <c r="P222" s="1548"/>
      <c r="AH222" s="1555">
        <v>0</v>
      </c>
    </row>
    <row r="223" spans="1:34" s="1559" customFormat="1" ht="0.75" hidden="1" customHeight="1">
      <c r="A223" s="1676"/>
      <c r="B223" s="1676"/>
      <c r="C223" s="303" t="s">
        <v>1363</v>
      </c>
      <c r="D223" s="4189"/>
      <c r="E223" s="3990"/>
      <c r="F223" s="4127"/>
      <c r="G223" s="334"/>
      <c r="H223" s="1424"/>
      <c r="I223" s="585"/>
      <c r="J223" s="505"/>
      <c r="K223" s="1424"/>
      <c r="L223" s="149"/>
      <c r="M223" s="276"/>
      <c r="N223" s="269"/>
      <c r="O223" s="1548"/>
      <c r="P223" s="1548"/>
      <c r="AH223" s="1555">
        <v>0</v>
      </c>
    </row>
    <row r="224" spans="1:34" s="1559" customFormat="1" ht="18.75" hidden="1" customHeight="1">
      <c r="A224" s="1676" t="s">
        <v>395</v>
      </c>
      <c r="B224" s="1676" t="s">
        <v>396</v>
      </c>
      <c r="C224" s="303"/>
      <c r="D224" s="4189"/>
      <c r="E224" s="3990"/>
      <c r="F224" s="4127" t="str">
        <f>INDEX(PT_DIFFERENTIATION_VTAR,MATCH(A224,PT_DIFFERENTIATION_VTAR_ID,0))</f>
        <v>Тарифы на услуги по передаче теплоносителя</v>
      </c>
      <c r="G224" s="4164" t="str">
        <f>INDEX(PT_DIFFERENTIATION_NTAR,MATCH(B224,PT_DIFFERENTIATION_NTAR_ID,0))</f>
        <v/>
      </c>
      <c r="H224" s="1757"/>
      <c r="I224" s="1635"/>
      <c r="J224" s="1669"/>
      <c r="K224" s="1674"/>
      <c r="L224" s="1757" t="s">
        <v>514</v>
      </c>
      <c r="M224" s="276"/>
      <c r="N224" s="269"/>
      <c r="O224" s="1548"/>
      <c r="P224" s="1548"/>
      <c r="AH224" s="1555">
        <v>0</v>
      </c>
    </row>
    <row r="225" spans="1:34" s="1559" customFormat="1" ht="18.75" hidden="1" customHeight="1">
      <c r="A225" s="1676"/>
      <c r="B225" s="1676"/>
      <c r="C225" s="303" t="s">
        <v>1354</v>
      </c>
      <c r="D225" s="4189"/>
      <c r="E225" s="3990"/>
      <c r="F225" s="4127"/>
      <c r="G225" s="4164"/>
      <c r="H225" s="1424"/>
      <c r="I225" s="585" t="s">
        <v>1353</v>
      </c>
      <c r="J225" s="505"/>
      <c r="K225" s="1424"/>
      <c r="L225" s="149"/>
      <c r="M225" s="276"/>
      <c r="N225" s="269"/>
      <c r="O225" s="1548"/>
      <c r="P225" s="1548"/>
      <c r="AH225" s="1555">
        <v>0</v>
      </c>
    </row>
    <row r="226" spans="1:34" s="1559" customFormat="1" ht="0.75" hidden="1" customHeight="1">
      <c r="A226" s="1676"/>
      <c r="B226" s="1676"/>
      <c r="C226" s="303" t="s">
        <v>1363</v>
      </c>
      <c r="D226" s="4189"/>
      <c r="E226" s="3990"/>
      <c r="F226" s="4127"/>
      <c r="G226" s="334"/>
      <c r="H226" s="1424"/>
      <c r="I226" s="585"/>
      <c r="J226" s="505"/>
      <c r="K226" s="1424"/>
      <c r="L226" s="149"/>
      <c r="M226" s="276"/>
      <c r="N226" s="269"/>
      <c r="O226" s="1548"/>
      <c r="P226" s="1548"/>
      <c r="AH226" s="1555">
        <v>0</v>
      </c>
    </row>
    <row r="227" spans="1:34" s="1559" customFormat="1" ht="18.75" hidden="1" customHeight="1">
      <c r="A227" s="1676" t="s">
        <v>401</v>
      </c>
      <c r="B227" s="1676" t="s">
        <v>402</v>
      </c>
      <c r="C227" s="303"/>
      <c r="D227" s="4189"/>
      <c r="E227" s="3990"/>
      <c r="F227" s="412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4164" t="str">
        <f>INDEX(PT_DIFFERENTIATION_NTAR,MATCH(B227,PT_DIFFERENTIATION_NTAR_ID,0))</f>
        <v/>
      </c>
      <c r="H227" s="1757"/>
      <c r="I227" s="1635"/>
      <c r="J227" s="1669"/>
      <c r="K227" s="1674"/>
      <c r="L227" s="1757" t="s">
        <v>514</v>
      </c>
      <c r="M227" s="276"/>
      <c r="N227" s="269"/>
      <c r="O227" s="1548"/>
      <c r="P227" s="1548"/>
      <c r="AH227" s="1555">
        <v>0</v>
      </c>
    </row>
    <row r="228" spans="1:34" s="1559" customFormat="1" ht="18.75" hidden="1" customHeight="1">
      <c r="A228" s="1676"/>
      <c r="B228" s="1676"/>
      <c r="C228" s="303" t="s">
        <v>1354</v>
      </c>
      <c r="D228" s="4189"/>
      <c r="E228" s="3990"/>
      <c r="F228" s="4127"/>
      <c r="G228" s="4164"/>
      <c r="H228" s="1424"/>
      <c r="I228" s="585" t="s">
        <v>1353</v>
      </c>
      <c r="J228" s="505"/>
      <c r="K228" s="1424"/>
      <c r="L228" s="149"/>
      <c r="M228" s="276"/>
      <c r="N228" s="269"/>
      <c r="O228" s="1548"/>
      <c r="P228" s="1548"/>
      <c r="AH228" s="1555">
        <v>0</v>
      </c>
    </row>
    <row r="229" spans="1:34" s="1559" customFormat="1" ht="0.75" hidden="1" customHeight="1">
      <c r="A229" s="1676"/>
      <c r="B229" s="1676"/>
      <c r="C229" s="303" t="s">
        <v>1363</v>
      </c>
      <c r="D229" s="4189"/>
      <c r="E229" s="3990"/>
      <c r="F229" s="4127"/>
      <c r="G229" s="334"/>
      <c r="H229" s="1424"/>
      <c r="I229" s="585"/>
      <c r="J229" s="505"/>
      <c r="K229" s="1424"/>
      <c r="L229" s="149"/>
      <c r="M229" s="276"/>
      <c r="N229" s="269"/>
      <c r="O229" s="1548"/>
      <c r="P229" s="1548"/>
      <c r="AH229" s="1555">
        <v>0</v>
      </c>
    </row>
    <row r="230" spans="1:34" s="1559" customFormat="1" ht="18.75" hidden="1" customHeight="1">
      <c r="A230" s="1676" t="s">
        <v>407</v>
      </c>
      <c r="B230" s="1676" t="s">
        <v>408</v>
      </c>
      <c r="C230" s="303"/>
      <c r="D230" s="4189"/>
      <c r="E230" s="3990"/>
      <c r="F230" s="4127" t="str">
        <f>INDEX(PT_DIFFERENTIATION_VTAR,MATCH(A230,PT_DIFFERENTIATION_VTAR_ID,0))</f>
        <v>Плата за подключение (технологическое присоединение) к системе теплоснабжения</v>
      </c>
      <c r="G230" s="4164" t="str">
        <f>INDEX(PT_DIFFERENTIATION_NTAR,MATCH(B230,PT_DIFFERENTIATION_NTAR_ID,0))</f>
        <v/>
      </c>
      <c r="H230" s="1757"/>
      <c r="I230" s="1635"/>
      <c r="J230" s="1669"/>
      <c r="K230" s="1674"/>
      <c r="L230" s="1757" t="s">
        <v>514</v>
      </c>
      <c r="M230" s="276"/>
      <c r="N230" s="269"/>
      <c r="O230" s="1548"/>
      <c r="P230" s="1548"/>
      <c r="AH230" s="1555">
        <v>0</v>
      </c>
    </row>
    <row r="231" spans="1:34" s="1559" customFormat="1" ht="18.75" hidden="1" customHeight="1">
      <c r="A231" s="1676"/>
      <c r="B231" s="1676"/>
      <c r="C231" s="303" t="s">
        <v>1354</v>
      </c>
      <c r="D231" s="4189"/>
      <c r="E231" s="3990"/>
      <c r="F231" s="4127"/>
      <c r="G231" s="4164"/>
      <c r="H231" s="1424"/>
      <c r="I231" s="585" t="s">
        <v>1353</v>
      </c>
      <c r="J231" s="505"/>
      <c r="K231" s="1424"/>
      <c r="L231" s="149"/>
      <c r="M231" s="276"/>
      <c r="N231" s="269"/>
      <c r="O231" s="1548"/>
      <c r="P231" s="1548"/>
      <c r="AH231" s="1555">
        <v>0</v>
      </c>
    </row>
    <row r="232" spans="1:34" s="1559" customFormat="1" ht="0.75" hidden="1" customHeight="1">
      <c r="A232" s="1676"/>
      <c r="B232" s="1676"/>
      <c r="C232" s="303" t="s">
        <v>1363</v>
      </c>
      <c r="D232" s="4189"/>
      <c r="E232" s="3990"/>
      <c r="F232" s="4127"/>
      <c r="G232" s="334"/>
      <c r="H232" s="1424"/>
      <c r="I232" s="585"/>
      <c r="J232" s="505"/>
      <c r="K232" s="1424"/>
      <c r="L232" s="149"/>
      <c r="M232" s="276"/>
      <c r="N232" s="269"/>
      <c r="O232" s="1548"/>
      <c r="P232" s="1548"/>
      <c r="AH232" s="1555">
        <v>0</v>
      </c>
    </row>
    <row r="233" spans="1:34" s="1559" customFormat="1" ht="18.75" hidden="1" customHeight="1">
      <c r="A233" s="1676" t="s">
        <v>413</v>
      </c>
      <c r="B233" s="1676" t="s">
        <v>414</v>
      </c>
      <c r="C233" s="303"/>
      <c r="D233" s="4189"/>
      <c r="E233" s="3990"/>
      <c r="F233" s="4127" t="str">
        <f>INDEX(PT_DIFFERENTIATION_VTAR,MATCH(A233,PT_DIFFERENTIATION_VTAR_ID,0))</f>
        <v>Плата за подключение (технологическое присоединение) к системе теплоснабжения (индивидуальная)</v>
      </c>
      <c r="G233" s="4164" t="str">
        <f>INDEX(PT_DIFFERENTIATION_NTAR,MATCH(B233,PT_DIFFERENTIATION_NTAR_ID,0))</f>
        <v/>
      </c>
      <c r="H233" s="1881"/>
      <c r="I233" s="1635"/>
      <c r="J233" s="1669"/>
      <c r="K233" s="1674"/>
      <c r="L233" s="1881" t="s">
        <v>514</v>
      </c>
      <c r="M233" s="276"/>
      <c r="N233" s="269"/>
      <c r="O233" s="1548"/>
      <c r="P233" s="1548"/>
      <c r="AH233" s="1555">
        <v>0</v>
      </c>
    </row>
    <row r="234" spans="1:34" s="1559" customFormat="1" ht="18.75" hidden="1" customHeight="1">
      <c r="A234" s="1676"/>
      <c r="B234" s="1676"/>
      <c r="C234" s="303" t="s">
        <v>1354</v>
      </c>
      <c r="D234" s="4189"/>
      <c r="E234" s="3990"/>
      <c r="F234" s="4127"/>
      <c r="G234" s="4164"/>
      <c r="H234" s="1424"/>
      <c r="I234" s="585" t="s">
        <v>1353</v>
      </c>
      <c r="J234" s="505"/>
      <c r="K234" s="1424"/>
      <c r="L234" s="149"/>
      <c r="M234" s="276"/>
      <c r="N234" s="269"/>
      <c r="O234" s="1548"/>
      <c r="P234" s="1548"/>
      <c r="AH234" s="1555">
        <v>0</v>
      </c>
    </row>
    <row r="235" spans="1:34" s="1559" customFormat="1" ht="0.75" hidden="1" customHeight="1">
      <c r="A235" s="1676"/>
      <c r="B235" s="1676"/>
      <c r="C235" s="303" t="s">
        <v>1363</v>
      </c>
      <c r="D235" s="4189"/>
      <c r="E235" s="3990"/>
      <c r="F235" s="4127"/>
      <c r="G235" s="334"/>
      <c r="H235" s="1424"/>
      <c r="I235" s="585"/>
      <c r="J235" s="505"/>
      <c r="K235" s="1424"/>
      <c r="L235" s="149"/>
      <c r="M235" s="276"/>
      <c r="N235" s="269"/>
      <c r="O235" s="1548"/>
      <c r="P235" s="1548"/>
      <c r="AH235" s="1555">
        <v>0</v>
      </c>
    </row>
    <row r="236" spans="1:34" s="1559" customFormat="1" ht="18.75" hidden="1" customHeight="1">
      <c r="A236" s="1676" t="s">
        <v>433</v>
      </c>
      <c r="B236" s="1676" t="s">
        <v>434</v>
      </c>
      <c r="C236" s="303"/>
      <c r="D236" s="4189"/>
      <c r="E236" s="3990"/>
      <c r="F236" s="4127" t="str">
        <f>INDEX(PT_DIFFERENTIATION_VTAR,MATCH(A236,PT_DIFFERENTIATION_VTAR_ID,0))</f>
        <v>Тариф на питьевую воду (питьевое водоснабжение)</v>
      </c>
      <c r="G236" s="4164" t="str">
        <f>INDEX(PT_DIFFERENTIATION_NTAR,MATCH(B236,PT_DIFFERENTIATION_NTAR_ID,0))</f>
        <v/>
      </c>
      <c r="H236" s="1757"/>
      <c r="I236" s="1635"/>
      <c r="J236" s="1669"/>
      <c r="K236" s="1674"/>
      <c r="L236" s="1757" t="s">
        <v>514</v>
      </c>
      <c r="M236" s="276"/>
      <c r="N236" s="269"/>
      <c r="O236" s="1548"/>
      <c r="P236" s="1548"/>
      <c r="AH236" s="1555">
        <v>0</v>
      </c>
    </row>
    <row r="237" spans="1:34" s="1559" customFormat="1" ht="18.75" hidden="1" customHeight="1">
      <c r="A237" s="1676"/>
      <c r="B237" s="1676"/>
      <c r="C237" s="303" t="s">
        <v>1354</v>
      </c>
      <c r="D237" s="4189"/>
      <c r="E237" s="3990"/>
      <c r="F237" s="4127"/>
      <c r="G237" s="4164"/>
      <c r="H237" s="1424"/>
      <c r="I237" s="585" t="s">
        <v>1353</v>
      </c>
      <c r="J237" s="505"/>
      <c r="K237" s="1424"/>
      <c r="L237" s="149"/>
      <c r="M237" s="276"/>
      <c r="N237" s="269"/>
      <c r="O237" s="1548"/>
      <c r="P237" s="1548"/>
      <c r="AH237" s="1555">
        <v>0</v>
      </c>
    </row>
    <row r="238" spans="1:34" s="1559" customFormat="1" ht="0.75" hidden="1" customHeight="1">
      <c r="A238" s="1676"/>
      <c r="B238" s="1676"/>
      <c r="C238" s="303" t="s">
        <v>1363</v>
      </c>
      <c r="D238" s="4189"/>
      <c r="E238" s="3990"/>
      <c r="F238" s="4127"/>
      <c r="G238" s="334"/>
      <c r="H238" s="1424"/>
      <c r="I238" s="585"/>
      <c r="J238" s="505"/>
      <c r="K238" s="1424"/>
      <c r="L238" s="149"/>
      <c r="M238" s="276"/>
      <c r="N238" s="269"/>
      <c r="O238" s="1548"/>
      <c r="P238" s="1548"/>
      <c r="AH238" s="1555">
        <v>0</v>
      </c>
    </row>
    <row r="239" spans="1:34" s="1559" customFormat="1" ht="18.75" hidden="1" customHeight="1">
      <c r="A239" s="1676" t="s">
        <v>438</v>
      </c>
      <c r="B239" s="1676" t="s">
        <v>439</v>
      </c>
      <c r="C239" s="303"/>
      <c r="D239" s="4189"/>
      <c r="E239" s="3990"/>
      <c r="F239" s="4127" t="str">
        <f>INDEX(PT_DIFFERENTIATION_VTAR,MATCH(A239,PT_DIFFERENTIATION_VTAR_ID,0))</f>
        <v>Тариф на техническую воду</v>
      </c>
      <c r="G239" s="4164" t="str">
        <f>INDEX(PT_DIFFERENTIATION_NTAR,MATCH(B239,PT_DIFFERENTIATION_NTAR_ID,0))</f>
        <v/>
      </c>
      <c r="H239" s="1757"/>
      <c r="I239" s="1635"/>
      <c r="J239" s="1669"/>
      <c r="K239" s="1674"/>
      <c r="L239" s="1757" t="s">
        <v>514</v>
      </c>
      <c r="M239" s="276"/>
      <c r="N239" s="269"/>
      <c r="O239" s="1548"/>
      <c r="P239" s="1548"/>
      <c r="AH239" s="1555">
        <v>0</v>
      </c>
    </row>
    <row r="240" spans="1:34" s="1559" customFormat="1" ht="18.75" hidden="1" customHeight="1">
      <c r="A240" s="1676"/>
      <c r="B240" s="1676"/>
      <c r="C240" s="303" t="s">
        <v>1354</v>
      </c>
      <c r="D240" s="4189"/>
      <c r="E240" s="3990"/>
      <c r="F240" s="4127"/>
      <c r="G240" s="4164"/>
      <c r="H240" s="1424"/>
      <c r="I240" s="585" t="s">
        <v>1353</v>
      </c>
      <c r="J240" s="505"/>
      <c r="K240" s="1424"/>
      <c r="L240" s="149"/>
      <c r="M240" s="276"/>
      <c r="N240" s="269"/>
      <c r="O240" s="1548"/>
      <c r="P240" s="1548"/>
      <c r="AH240" s="1555">
        <v>0</v>
      </c>
    </row>
    <row r="241" spans="1:34" s="1559" customFormat="1" ht="0.75" hidden="1" customHeight="1">
      <c r="A241" s="1676"/>
      <c r="B241" s="1676"/>
      <c r="C241" s="303" t="s">
        <v>1363</v>
      </c>
      <c r="D241" s="4189"/>
      <c r="E241" s="3990"/>
      <c r="F241" s="4127"/>
      <c r="G241" s="334"/>
      <c r="H241" s="1424"/>
      <c r="I241" s="585"/>
      <c r="J241" s="505"/>
      <c r="K241" s="1424"/>
      <c r="L241" s="149"/>
      <c r="M241" s="276"/>
      <c r="N241" s="269"/>
      <c r="O241" s="1548"/>
      <c r="P241" s="1548"/>
      <c r="AH241" s="1555">
        <v>0</v>
      </c>
    </row>
    <row r="242" spans="1:34" s="1559" customFormat="1" ht="18.75" hidden="1" customHeight="1">
      <c r="A242" s="1676" t="s">
        <v>443</v>
      </c>
      <c r="B242" s="1676" t="s">
        <v>444</v>
      </c>
      <c r="C242" s="303"/>
      <c r="D242" s="4189"/>
      <c r="E242" s="3990"/>
      <c r="F242" s="4127" t="str">
        <f>INDEX(PT_DIFFERENTIATION_VTAR,MATCH(A242,PT_DIFFERENTIATION_VTAR_ID,0))</f>
        <v>Тариф на транспортировку воды</v>
      </c>
      <c r="G242" s="4164" t="str">
        <f>INDEX(PT_DIFFERENTIATION_NTAR,MATCH(B242,PT_DIFFERENTIATION_NTAR_ID,0))</f>
        <v/>
      </c>
      <c r="H242" s="1757"/>
      <c r="I242" s="1635"/>
      <c r="J242" s="1669"/>
      <c r="K242" s="1674"/>
      <c r="L242" s="1757" t="s">
        <v>514</v>
      </c>
      <c r="M242" s="276"/>
      <c r="N242" s="269"/>
      <c r="O242" s="1548"/>
      <c r="P242" s="1548"/>
      <c r="AH242" s="1555">
        <v>0</v>
      </c>
    </row>
    <row r="243" spans="1:34" s="1559" customFormat="1" ht="18.75" hidden="1" customHeight="1">
      <c r="A243" s="1676"/>
      <c r="B243" s="1676"/>
      <c r="C243" s="303" t="s">
        <v>1354</v>
      </c>
      <c r="D243" s="4189"/>
      <c r="E243" s="3990"/>
      <c r="F243" s="4127"/>
      <c r="G243" s="4164"/>
      <c r="H243" s="1424"/>
      <c r="I243" s="585" t="s">
        <v>1353</v>
      </c>
      <c r="J243" s="505"/>
      <c r="K243" s="1424"/>
      <c r="L243" s="149"/>
      <c r="M243" s="276"/>
      <c r="N243" s="269"/>
      <c r="O243" s="1548"/>
      <c r="P243" s="1548"/>
      <c r="AH243" s="1555">
        <v>0</v>
      </c>
    </row>
    <row r="244" spans="1:34" s="1559" customFormat="1" ht="0.75" hidden="1" customHeight="1">
      <c r="A244" s="1676"/>
      <c r="B244" s="1676"/>
      <c r="C244" s="303" t="s">
        <v>1363</v>
      </c>
      <c r="D244" s="4189"/>
      <c r="E244" s="3990"/>
      <c r="F244" s="4127"/>
      <c r="G244" s="334"/>
      <c r="H244" s="1424"/>
      <c r="I244" s="585"/>
      <c r="J244" s="505"/>
      <c r="K244" s="1424"/>
      <c r="L244" s="149"/>
      <c r="M244" s="276"/>
      <c r="N244" s="269"/>
      <c r="O244" s="1548"/>
      <c r="P244" s="1548"/>
      <c r="AH244" s="1555">
        <v>0</v>
      </c>
    </row>
    <row r="245" spans="1:34" s="1559" customFormat="1" ht="18.75" hidden="1" customHeight="1">
      <c r="A245" s="1676" t="s">
        <v>448</v>
      </c>
      <c r="B245" s="1676" t="s">
        <v>449</v>
      </c>
      <c r="C245" s="303"/>
      <c r="D245" s="4189"/>
      <c r="E245" s="3990"/>
      <c r="F245" s="4127" t="str">
        <f>INDEX(PT_DIFFERENTIATION_VTAR,MATCH(A245,PT_DIFFERENTIATION_VTAR_ID,0))</f>
        <v>Тариф на подвоз воды</v>
      </c>
      <c r="G245" s="4164" t="str">
        <f>INDEX(PT_DIFFERENTIATION_NTAR,MATCH(B245,PT_DIFFERENTIATION_NTAR_ID,0))</f>
        <v/>
      </c>
      <c r="H245" s="1757"/>
      <c r="I245" s="1635"/>
      <c r="J245" s="1669"/>
      <c r="K245" s="1674"/>
      <c r="L245" s="1757" t="s">
        <v>514</v>
      </c>
      <c r="M245" s="276"/>
      <c r="N245" s="269"/>
      <c r="O245" s="1548"/>
      <c r="P245" s="1548"/>
      <c r="AH245" s="1555">
        <v>0</v>
      </c>
    </row>
    <row r="246" spans="1:34" s="1559" customFormat="1" ht="18.75" hidden="1" customHeight="1">
      <c r="A246" s="1676"/>
      <c r="B246" s="1676"/>
      <c r="C246" s="303" t="s">
        <v>1354</v>
      </c>
      <c r="D246" s="4189"/>
      <c r="E246" s="3990"/>
      <c r="F246" s="4127"/>
      <c r="G246" s="4164"/>
      <c r="H246" s="1424"/>
      <c r="I246" s="585" t="s">
        <v>1353</v>
      </c>
      <c r="J246" s="505"/>
      <c r="K246" s="1424"/>
      <c r="L246" s="149"/>
      <c r="M246" s="276"/>
      <c r="N246" s="269"/>
      <c r="O246" s="1548"/>
      <c r="P246" s="1548"/>
      <c r="AH246" s="1555">
        <v>0</v>
      </c>
    </row>
    <row r="247" spans="1:34" s="1559" customFormat="1" ht="0.75" hidden="1" customHeight="1">
      <c r="A247" s="1676"/>
      <c r="B247" s="1676"/>
      <c r="C247" s="303" t="s">
        <v>1363</v>
      </c>
      <c r="D247" s="4189"/>
      <c r="E247" s="3990"/>
      <c r="F247" s="4127"/>
      <c r="G247" s="334"/>
      <c r="H247" s="1424"/>
      <c r="I247" s="585"/>
      <c r="J247" s="505"/>
      <c r="K247" s="1424"/>
      <c r="L247" s="149"/>
      <c r="M247" s="276"/>
      <c r="N247" s="269"/>
      <c r="O247" s="1548"/>
      <c r="P247" s="1548"/>
      <c r="AH247" s="1555">
        <v>0</v>
      </c>
    </row>
    <row r="248" spans="1:34" s="1559" customFormat="1" ht="18.75" hidden="1" customHeight="1">
      <c r="A248" s="1676" t="s">
        <v>453</v>
      </c>
      <c r="B248" s="1676" t="s">
        <v>454</v>
      </c>
      <c r="C248" s="303"/>
      <c r="D248" s="4189"/>
      <c r="E248" s="3990"/>
      <c r="F248" s="412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4164" t="str">
        <f>INDEX(PT_DIFFERENTIATION_NTAR,MATCH(B248,PT_DIFFERENTIATION_NTAR_ID,0))</f>
        <v/>
      </c>
      <c r="H248" s="1757"/>
      <c r="I248" s="1635"/>
      <c r="J248" s="1669"/>
      <c r="K248" s="1674"/>
      <c r="L248" s="1757" t="s">
        <v>514</v>
      </c>
      <c r="M248" s="276"/>
      <c r="N248" s="269"/>
      <c r="O248" s="1548"/>
      <c r="P248" s="1548"/>
      <c r="AH248" s="1555">
        <v>0</v>
      </c>
    </row>
    <row r="249" spans="1:34" s="1559" customFormat="1" ht="18.75" hidden="1" customHeight="1">
      <c r="A249" s="1676"/>
      <c r="B249" s="1676"/>
      <c r="C249" s="303" t="s">
        <v>1354</v>
      </c>
      <c r="D249" s="4189"/>
      <c r="E249" s="3990"/>
      <c r="F249" s="4127"/>
      <c r="G249" s="4164"/>
      <c r="H249" s="1424"/>
      <c r="I249" s="585" t="s">
        <v>1353</v>
      </c>
      <c r="J249" s="505"/>
      <c r="K249" s="1424"/>
      <c r="L249" s="149"/>
      <c r="M249" s="276"/>
      <c r="N249" s="269"/>
      <c r="O249" s="1548"/>
      <c r="P249" s="1548"/>
      <c r="AH249" s="1555">
        <v>0</v>
      </c>
    </row>
    <row r="250" spans="1:34" s="1559" customFormat="1" ht="0.75" hidden="1" customHeight="1">
      <c r="A250" s="1676"/>
      <c r="B250" s="1676"/>
      <c r="C250" s="303" t="s">
        <v>1363</v>
      </c>
      <c r="D250" s="4189"/>
      <c r="E250" s="3990"/>
      <c r="F250" s="4127"/>
      <c r="G250" s="334"/>
      <c r="H250" s="1424"/>
      <c r="I250" s="585"/>
      <c r="J250" s="505"/>
      <c r="K250" s="1424"/>
      <c r="L250" s="149"/>
      <c r="M250" s="276"/>
      <c r="N250" s="269"/>
      <c r="O250" s="1548"/>
      <c r="P250" s="1548"/>
      <c r="AH250" s="1555">
        <v>0</v>
      </c>
    </row>
    <row r="251" spans="1:34" s="1559" customFormat="1" ht="18.75" hidden="1" customHeight="1">
      <c r="A251" s="1676" t="s">
        <v>458</v>
      </c>
      <c r="B251" s="1676" t="s">
        <v>459</v>
      </c>
      <c r="C251" s="303"/>
      <c r="D251" s="4189"/>
      <c r="E251" s="3990"/>
      <c r="F251" s="4127" t="str">
        <f>INDEX(PT_DIFFERENTIATION_VTAR,MATCH(A251,PT_DIFFERENTIATION_VTAR_ID,0))</f>
        <v>Тариф на горячую воду (горячее водоснабжение)</v>
      </c>
      <c r="G251" s="4164" t="str">
        <f>INDEX(PT_DIFFERENTIATION_NTAR,MATCH(B251,PT_DIFFERENTIATION_NTAR_ID,0))</f>
        <v/>
      </c>
      <c r="H251" s="1757"/>
      <c r="I251" s="1635"/>
      <c r="J251" s="1669"/>
      <c r="K251" s="1674"/>
      <c r="L251" s="1757" t="s">
        <v>514</v>
      </c>
      <c r="M251" s="276"/>
      <c r="N251" s="269"/>
      <c r="O251" s="1548"/>
      <c r="P251" s="1548"/>
      <c r="AH251" s="1555">
        <v>0</v>
      </c>
    </row>
    <row r="252" spans="1:34" s="1559" customFormat="1" ht="18.75" hidden="1" customHeight="1">
      <c r="A252" s="1676"/>
      <c r="B252" s="1676"/>
      <c r="C252" s="303" t="s">
        <v>1354</v>
      </c>
      <c r="D252" s="4189"/>
      <c r="E252" s="3990"/>
      <c r="F252" s="4127"/>
      <c r="G252" s="4164"/>
      <c r="H252" s="1424"/>
      <c r="I252" s="585" t="s">
        <v>1353</v>
      </c>
      <c r="J252" s="505"/>
      <c r="K252" s="1424"/>
      <c r="L252" s="149"/>
      <c r="M252" s="276"/>
      <c r="N252" s="269"/>
      <c r="O252" s="1548"/>
      <c r="P252" s="1548"/>
      <c r="AH252" s="1555">
        <v>0</v>
      </c>
    </row>
    <row r="253" spans="1:34" s="1559" customFormat="1" ht="0.75" hidden="1" customHeight="1">
      <c r="A253" s="1676"/>
      <c r="B253" s="1676"/>
      <c r="C253" s="303" t="s">
        <v>1363</v>
      </c>
      <c r="D253" s="4189"/>
      <c r="E253" s="3990"/>
      <c r="F253" s="4127"/>
      <c r="G253" s="334"/>
      <c r="H253" s="1424"/>
      <c r="I253" s="585"/>
      <c r="J253" s="505"/>
      <c r="K253" s="1424"/>
      <c r="L253" s="149"/>
      <c r="M253" s="276"/>
      <c r="N253" s="269"/>
      <c r="O253" s="1548"/>
      <c r="P253" s="1548"/>
      <c r="AH253" s="1555">
        <v>0</v>
      </c>
    </row>
    <row r="254" spans="1:34" s="1559" customFormat="1" ht="18.75" hidden="1" customHeight="1">
      <c r="A254" s="1676" t="s">
        <v>463</v>
      </c>
      <c r="B254" s="1676" t="s">
        <v>464</v>
      </c>
      <c r="C254" s="303"/>
      <c r="D254" s="4189"/>
      <c r="E254" s="3990"/>
      <c r="F254" s="4127" t="str">
        <f>INDEX(PT_DIFFERENTIATION_VTAR,MATCH(A254,PT_DIFFERENTIATION_VTAR_ID,0))</f>
        <v>Тариф на транспортировку горячей воды</v>
      </c>
      <c r="G254" s="4164" t="str">
        <f>INDEX(PT_DIFFERENTIATION_NTAR,MATCH(B254,PT_DIFFERENTIATION_NTAR_ID,0))</f>
        <v/>
      </c>
      <c r="H254" s="1757"/>
      <c r="I254" s="1635"/>
      <c r="J254" s="1669"/>
      <c r="K254" s="1674"/>
      <c r="L254" s="1757" t="s">
        <v>514</v>
      </c>
      <c r="M254" s="276"/>
      <c r="N254" s="269"/>
      <c r="O254" s="1548"/>
      <c r="P254" s="1548"/>
      <c r="AH254" s="1555">
        <v>0</v>
      </c>
    </row>
    <row r="255" spans="1:34" s="1559" customFormat="1" ht="18.75" hidden="1" customHeight="1">
      <c r="A255" s="1676"/>
      <c r="B255" s="1676"/>
      <c r="C255" s="303" t="s">
        <v>1354</v>
      </c>
      <c r="D255" s="4189"/>
      <c r="E255" s="3990"/>
      <c r="F255" s="4127"/>
      <c r="G255" s="4164"/>
      <c r="H255" s="1424"/>
      <c r="I255" s="585" t="s">
        <v>1353</v>
      </c>
      <c r="J255" s="505"/>
      <c r="K255" s="1424"/>
      <c r="L255" s="149"/>
      <c r="M255" s="276"/>
      <c r="N255" s="269"/>
      <c r="O255" s="1548"/>
      <c r="P255" s="1548"/>
      <c r="AH255" s="1555">
        <v>0</v>
      </c>
    </row>
    <row r="256" spans="1:34" s="1559" customFormat="1" ht="0.75" hidden="1" customHeight="1">
      <c r="A256" s="1676"/>
      <c r="B256" s="1676"/>
      <c r="C256" s="303" t="s">
        <v>1363</v>
      </c>
      <c r="D256" s="4189"/>
      <c r="E256" s="3990"/>
      <c r="F256" s="4127"/>
      <c r="G256" s="334"/>
      <c r="H256" s="1424"/>
      <c r="I256" s="585"/>
      <c r="J256" s="505"/>
      <c r="K256" s="1424"/>
      <c r="L256" s="149"/>
      <c r="M256" s="276"/>
      <c r="N256" s="269"/>
      <c r="O256" s="1548"/>
      <c r="P256" s="1548"/>
      <c r="AH256" s="1555">
        <v>0</v>
      </c>
    </row>
    <row r="257" spans="1:34" s="1559" customFormat="1" ht="18.75" hidden="1" customHeight="1">
      <c r="A257" s="1676" t="s">
        <v>468</v>
      </c>
      <c r="B257" s="1676" t="s">
        <v>469</v>
      </c>
      <c r="C257" s="303"/>
      <c r="D257" s="4189"/>
      <c r="E257" s="3990"/>
      <c r="F257" s="4127" t="str">
        <f>INDEX(PT_DIFFERENTIATION_VTAR,MATCH(A257,PT_DIFFERENTIATION_VTAR_ID,0))</f>
        <v>Тариф на подключение (технологическое присоединение) к централизованной системе горячего водоснабжения</v>
      </c>
      <c r="G257" s="4164" t="str">
        <f>INDEX(PT_DIFFERENTIATION_NTAR,MATCH(B257,PT_DIFFERENTIATION_NTAR_ID,0))</f>
        <v/>
      </c>
      <c r="H257" s="1757"/>
      <c r="I257" s="1635"/>
      <c r="J257" s="1669"/>
      <c r="K257" s="1674"/>
      <c r="L257" s="1757" t="s">
        <v>514</v>
      </c>
      <c r="M257" s="276"/>
      <c r="N257" s="269"/>
      <c r="O257" s="1548"/>
      <c r="P257" s="1548"/>
      <c r="AH257" s="1555">
        <v>0</v>
      </c>
    </row>
    <row r="258" spans="1:34" s="1559" customFormat="1" ht="18.75" hidden="1" customHeight="1">
      <c r="A258" s="1676"/>
      <c r="B258" s="1676"/>
      <c r="C258" s="303" t="s">
        <v>1354</v>
      </c>
      <c r="D258" s="4189"/>
      <c r="E258" s="3990"/>
      <c r="F258" s="4127"/>
      <c r="G258" s="4164"/>
      <c r="H258" s="1424"/>
      <c r="I258" s="585" t="s">
        <v>1353</v>
      </c>
      <c r="J258" s="505"/>
      <c r="K258" s="1424"/>
      <c r="L258" s="149"/>
      <c r="M258" s="276"/>
      <c r="N258" s="269"/>
      <c r="O258" s="1548"/>
      <c r="P258" s="1548"/>
      <c r="AH258" s="1555">
        <v>0</v>
      </c>
    </row>
    <row r="259" spans="1:34" s="1559" customFormat="1" ht="0.75" hidden="1" customHeight="1">
      <c r="A259" s="1676"/>
      <c r="B259" s="1676"/>
      <c r="C259" s="303" t="s">
        <v>1363</v>
      </c>
      <c r="D259" s="4189"/>
      <c r="E259" s="3990"/>
      <c r="F259" s="4127"/>
      <c r="G259" s="334"/>
      <c r="H259" s="1424"/>
      <c r="I259" s="585"/>
      <c r="J259" s="505"/>
      <c r="K259" s="1424"/>
      <c r="L259" s="149"/>
      <c r="M259" s="276"/>
      <c r="N259" s="269"/>
      <c r="O259" s="1548"/>
      <c r="P259" s="1548"/>
      <c r="AH259" s="1555">
        <v>0</v>
      </c>
    </row>
    <row r="260" spans="1:34" s="1559" customFormat="1" ht="18.75" hidden="1" customHeight="1">
      <c r="A260" s="1676" t="s">
        <v>473</v>
      </c>
      <c r="B260" s="1676" t="s">
        <v>474</v>
      </c>
      <c r="C260" s="303"/>
      <c r="D260" s="4189"/>
      <c r="E260" s="3990"/>
      <c r="F260" s="4127" t="str">
        <f>INDEX(PT_DIFFERENTIATION_VTAR,MATCH(A260,PT_DIFFERENTIATION_VTAR_ID,0))</f>
        <v>Тариф на водоотведение</v>
      </c>
      <c r="G260" s="4164" t="str">
        <f>INDEX(PT_DIFFERENTIATION_NTAR,MATCH(B260,PT_DIFFERENTIATION_NTAR_ID,0))</f>
        <v/>
      </c>
      <c r="H260" s="1757"/>
      <c r="I260" s="1635"/>
      <c r="J260" s="1669"/>
      <c r="K260" s="1674"/>
      <c r="L260" s="1757" t="s">
        <v>514</v>
      </c>
      <c r="M260" s="276"/>
      <c r="N260" s="269"/>
      <c r="O260" s="1548"/>
      <c r="P260" s="1548"/>
      <c r="AH260" s="1555">
        <v>0</v>
      </c>
    </row>
    <row r="261" spans="1:34" s="1559" customFormat="1" ht="18.75" hidden="1" customHeight="1">
      <c r="A261" s="1676"/>
      <c r="B261" s="1676"/>
      <c r="C261" s="303" t="s">
        <v>1354</v>
      </c>
      <c r="D261" s="4189"/>
      <c r="E261" s="3990"/>
      <c r="F261" s="4127"/>
      <c r="G261" s="4164"/>
      <c r="H261" s="1424"/>
      <c r="I261" s="585" t="s">
        <v>1353</v>
      </c>
      <c r="J261" s="505"/>
      <c r="K261" s="1424"/>
      <c r="L261" s="149"/>
      <c r="M261" s="276"/>
      <c r="N261" s="269"/>
      <c r="O261" s="1548"/>
      <c r="P261" s="1548"/>
      <c r="AH261" s="1555">
        <v>0</v>
      </c>
    </row>
    <row r="262" spans="1:34" s="1559" customFormat="1" ht="0.75" hidden="1" customHeight="1">
      <c r="A262" s="1676"/>
      <c r="B262" s="1676"/>
      <c r="C262" s="303" t="s">
        <v>1363</v>
      </c>
      <c r="D262" s="4189"/>
      <c r="E262" s="3990"/>
      <c r="F262" s="4127"/>
      <c r="G262" s="334"/>
      <c r="H262" s="1424"/>
      <c r="I262" s="585"/>
      <c r="J262" s="505"/>
      <c r="K262" s="1424"/>
      <c r="L262" s="149"/>
      <c r="M262" s="276"/>
      <c r="N262" s="269"/>
      <c r="O262" s="1548"/>
      <c r="P262" s="1548"/>
      <c r="AH262" s="1555">
        <v>0</v>
      </c>
    </row>
    <row r="263" spans="1:34" s="1559" customFormat="1" ht="18.75" hidden="1" customHeight="1">
      <c r="A263" s="1676" t="s">
        <v>478</v>
      </c>
      <c r="B263" s="1676" t="s">
        <v>479</v>
      </c>
      <c r="C263" s="303"/>
      <c r="D263" s="4189"/>
      <c r="E263" s="3990"/>
      <c r="F263" s="4127" t="str">
        <f>INDEX(PT_DIFFERENTIATION_VTAR,MATCH(A263,PT_DIFFERENTIATION_VTAR_ID,0))</f>
        <v>Тариф на транспортировку сточных вод</v>
      </c>
      <c r="G263" s="4164" t="str">
        <f>INDEX(PT_DIFFERENTIATION_NTAR,MATCH(B263,PT_DIFFERENTIATION_NTAR_ID,0))</f>
        <v/>
      </c>
      <c r="H263" s="1757"/>
      <c r="I263" s="1635"/>
      <c r="J263" s="1669"/>
      <c r="K263" s="1674"/>
      <c r="L263" s="1757" t="s">
        <v>514</v>
      </c>
      <c r="M263" s="276"/>
      <c r="N263" s="269"/>
      <c r="O263" s="1548"/>
      <c r="P263" s="1548"/>
      <c r="AH263" s="1555">
        <v>0</v>
      </c>
    </row>
    <row r="264" spans="1:34" s="1559" customFormat="1" ht="18.75" hidden="1" customHeight="1">
      <c r="A264" s="1676"/>
      <c r="B264" s="1676"/>
      <c r="C264" s="303" t="s">
        <v>1354</v>
      </c>
      <c r="D264" s="4189"/>
      <c r="E264" s="3990"/>
      <c r="F264" s="4127"/>
      <c r="G264" s="4164"/>
      <c r="H264" s="1424"/>
      <c r="I264" s="585" t="s">
        <v>1353</v>
      </c>
      <c r="J264" s="505"/>
      <c r="K264" s="1424"/>
      <c r="L264" s="149"/>
      <c r="M264" s="276"/>
      <c r="N264" s="269"/>
      <c r="O264" s="1548"/>
      <c r="P264" s="1548"/>
      <c r="AH264" s="1555">
        <v>0</v>
      </c>
    </row>
    <row r="265" spans="1:34" s="1559" customFormat="1" ht="0.75" hidden="1" customHeight="1">
      <c r="A265" s="1676"/>
      <c r="B265" s="1676"/>
      <c r="C265" s="303" t="s">
        <v>1363</v>
      </c>
      <c r="D265" s="4189"/>
      <c r="E265" s="3990"/>
      <c r="F265" s="4127"/>
      <c r="G265" s="334"/>
      <c r="H265" s="1424"/>
      <c r="I265" s="585"/>
      <c r="J265" s="505"/>
      <c r="K265" s="1424"/>
      <c r="L265" s="149"/>
      <c r="M265" s="276"/>
      <c r="N265" s="269"/>
      <c r="O265" s="1548"/>
      <c r="P265" s="1548"/>
      <c r="AH265" s="1555">
        <v>0</v>
      </c>
    </row>
    <row r="266" spans="1:34" s="1559" customFormat="1" ht="18.75" hidden="1" customHeight="1">
      <c r="A266" s="1676" t="s">
        <v>483</v>
      </c>
      <c r="B266" s="1676" t="s">
        <v>484</v>
      </c>
      <c r="C266" s="303"/>
      <c r="D266" s="4189"/>
      <c r="E266" s="3990"/>
      <c r="F266" s="4127" t="str">
        <f>INDEX(PT_DIFFERENTIATION_VTAR,MATCH(A266,PT_DIFFERENTIATION_VTAR_ID,0))</f>
        <v>Тариф на подключение (технологическое присоединение) к централизованной системе водоотведения</v>
      </c>
      <c r="G266" s="4164" t="str">
        <f>INDEX(PT_DIFFERENTIATION_NTAR,MATCH(B266,PT_DIFFERENTIATION_NTAR_ID,0))</f>
        <v/>
      </c>
      <c r="H266" s="1757"/>
      <c r="I266" s="1635"/>
      <c r="J266" s="1669"/>
      <c r="K266" s="1674"/>
      <c r="L266" s="1757" t="s">
        <v>514</v>
      </c>
      <c r="M266" s="276"/>
      <c r="N266" s="269"/>
      <c r="O266" s="1548"/>
      <c r="P266" s="1548"/>
      <c r="AH266" s="1555">
        <v>0</v>
      </c>
    </row>
    <row r="267" spans="1:34" s="1559" customFormat="1" ht="18.75" hidden="1" customHeight="1">
      <c r="A267" s="1676"/>
      <c r="B267" s="1676"/>
      <c r="C267" s="303" t="s">
        <v>1354</v>
      </c>
      <c r="D267" s="4189"/>
      <c r="E267" s="3990"/>
      <c r="F267" s="4127"/>
      <c r="G267" s="4164"/>
      <c r="H267" s="1424"/>
      <c r="I267" s="585" t="s">
        <v>1353</v>
      </c>
      <c r="J267" s="505"/>
      <c r="K267" s="1424"/>
      <c r="L267" s="149"/>
      <c r="M267" s="276"/>
      <c r="N267" s="269"/>
      <c r="O267" s="1548"/>
      <c r="P267" s="1548"/>
      <c r="AH267" s="1555">
        <v>0</v>
      </c>
    </row>
    <row r="268" spans="1:34" s="1559" customFormat="1" ht="1.1499999999999999" customHeight="1">
      <c r="A268" s="1676"/>
      <c r="B268" s="1676"/>
      <c r="C268" s="303" t="s">
        <v>1363</v>
      </c>
      <c r="D268" s="4189"/>
      <c r="E268" s="3990"/>
      <c r="F268" s="4127"/>
      <c r="G268" s="334"/>
      <c r="H268" s="1424"/>
      <c r="I268" s="585"/>
      <c r="J268" s="505"/>
      <c r="K268" s="1424"/>
      <c r="L268" s="149"/>
      <c r="M268" s="276"/>
      <c r="N268" s="269"/>
      <c r="O268" s="1548"/>
      <c r="P268" s="1548"/>
      <c r="AH268" s="1555">
        <v>1</v>
      </c>
    </row>
    <row r="269" spans="1:34" ht="27.4" customHeight="1">
      <c r="A269" s="1676"/>
      <c r="B269" s="1676"/>
      <c r="D269" s="310"/>
      <c r="E269" s="83" t="s">
        <v>79</v>
      </c>
      <c r="F269" s="418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4188"/>
      <c r="H269" s="4188"/>
      <c r="I269" s="4188"/>
      <c r="J269" s="4188"/>
      <c r="K269" s="4188"/>
      <c r="L269" s="4188"/>
      <c r="M269" s="232"/>
      <c r="N269" s="269"/>
      <c r="AH269" s="308">
        <v>26</v>
      </c>
    </row>
    <row r="270" spans="1:34" s="1559" customFormat="1" ht="60.75" hidden="1" customHeight="1">
      <c r="A270" s="1676" t="s">
        <v>221</v>
      </c>
      <c r="B270" s="1676" t="s">
        <v>222</v>
      </c>
      <c r="C270" s="303"/>
      <c r="D270" s="4189"/>
      <c r="E270" s="3990"/>
      <c r="F270" s="412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4164" t="str">
        <f>INDEX(PT_DIFFERENTIATION_NTAR,MATCH(B270,PT_DIFFERENTIATION_NTAR_ID,0))</f>
        <v/>
      </c>
      <c r="H270" s="1757"/>
      <c r="I270" s="1635"/>
      <c r="J270" s="1669"/>
      <c r="K270" s="1674"/>
      <c r="L270" s="1757" t="s">
        <v>514</v>
      </c>
      <c r="M270" s="39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8"/>
      <c r="P270" s="1548"/>
      <c r="AH270" s="1555">
        <v>0</v>
      </c>
    </row>
    <row r="271" spans="1:34" s="1559" customFormat="1" ht="18.75" hidden="1" customHeight="1">
      <c r="A271" s="1676"/>
      <c r="B271" s="1676"/>
      <c r="C271" s="303" t="s">
        <v>1354</v>
      </c>
      <c r="D271" s="4189"/>
      <c r="E271" s="3990"/>
      <c r="F271" s="4127"/>
      <c r="G271" s="4164"/>
      <c r="H271" s="1424"/>
      <c r="I271" s="585" t="s">
        <v>1353</v>
      </c>
      <c r="J271" s="505"/>
      <c r="K271" s="1424"/>
      <c r="L271" s="149"/>
      <c r="M271" s="3936"/>
      <c r="N271" s="269"/>
      <c r="O271" s="1548"/>
      <c r="P271" s="1548"/>
      <c r="AH271" s="1555">
        <v>0</v>
      </c>
    </row>
    <row r="272" spans="1:34" s="1559" customFormat="1" ht="0.75" hidden="1" customHeight="1">
      <c r="A272" s="1676"/>
      <c r="B272" s="1676"/>
      <c r="C272" s="303" t="s">
        <v>1363</v>
      </c>
      <c r="D272" s="4189"/>
      <c r="E272" s="3990"/>
      <c r="F272" s="4127"/>
      <c r="G272" s="334"/>
      <c r="H272" s="1424"/>
      <c r="I272" s="585"/>
      <c r="J272" s="505"/>
      <c r="K272" s="1424"/>
      <c r="L272" s="149"/>
      <c r="M272" s="3936"/>
      <c r="N272" s="269"/>
      <c r="O272" s="1548"/>
      <c r="P272" s="1548"/>
      <c r="AH272" s="1555">
        <v>0</v>
      </c>
    </row>
    <row r="273" spans="1:34" s="1559" customFormat="1" ht="45" customHeight="1">
      <c r="A273" s="1676" t="s">
        <v>230</v>
      </c>
      <c r="B273" s="1676" t="s">
        <v>231</v>
      </c>
      <c r="C273" s="303"/>
      <c r="D273" s="4189"/>
      <c r="E273" s="3990"/>
      <c r="F273" s="4127"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4164" t="str">
        <f>INDEX(PT_DIFFERENTIATION_NTAR,MATCH(B273,PT_DIFFERENTIATION_NTAR_ID,0))</f>
        <v>Тариф на тепловую энергию (мощность), поставляемую потребителям</v>
      </c>
      <c r="H273" s="1757"/>
      <c r="I273" s="1635">
        <v>46023.462951388887</v>
      </c>
      <c r="J273" s="1669">
        <v>46387.463055555556</v>
      </c>
      <c r="K273" s="1674">
        <v>0</v>
      </c>
      <c r="L273" s="1757" t="s">
        <v>514</v>
      </c>
      <c r="M273" s="3937"/>
      <c r="N273" s="269"/>
      <c r="O273" s="1548"/>
      <c r="P273" s="1548"/>
      <c r="AH273" s="1555">
        <v>0</v>
      </c>
    </row>
    <row r="274" spans="1:34" s="1559" customFormat="1" ht="18.75" customHeight="1">
      <c r="A274" s="1676"/>
      <c r="B274" s="1676"/>
      <c r="C274" s="303" t="s">
        <v>1354</v>
      </c>
      <c r="D274" s="4189"/>
      <c r="E274" s="3990"/>
      <c r="F274" s="4127"/>
      <c r="G274" s="4164"/>
      <c r="H274" s="1424"/>
      <c r="I274" s="585" t="s">
        <v>1353</v>
      </c>
      <c r="J274" s="505"/>
      <c r="K274" s="1424"/>
      <c r="L274" s="149"/>
      <c r="M274" s="1756"/>
      <c r="N274" s="269"/>
      <c r="O274" s="1548"/>
      <c r="P274" s="1548"/>
      <c r="AH274" s="1555">
        <v>0</v>
      </c>
    </row>
    <row r="275" spans="1:34" s="1559" customFormat="1" ht="0.75" customHeight="1">
      <c r="A275" s="1676"/>
      <c r="B275" s="1676"/>
      <c r="C275" s="303" t="s">
        <v>1363</v>
      </c>
      <c r="D275" s="4189"/>
      <c r="E275" s="3990"/>
      <c r="F275" s="4127"/>
      <c r="G275" s="334"/>
      <c r="H275" s="1424"/>
      <c r="I275" s="585"/>
      <c r="J275" s="505"/>
      <c r="K275" s="1424"/>
      <c r="L275" s="149"/>
      <c r="M275" s="276"/>
      <c r="N275" s="269"/>
      <c r="O275" s="1548"/>
      <c r="P275" s="1548"/>
      <c r="AH275" s="1555">
        <v>0</v>
      </c>
    </row>
    <row r="276" spans="1:34" s="1559" customFormat="1" ht="45" customHeight="1">
      <c r="A276" s="1676" t="s">
        <v>292</v>
      </c>
      <c r="B276" s="1676" t="s">
        <v>293</v>
      </c>
      <c r="C276" s="303"/>
      <c r="D276" s="4189"/>
      <c r="E276" s="3990"/>
      <c r="F276" s="412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4164" t="str">
        <f>INDEX(PT_DIFFERENTIATION_NTAR,MATCH(B276,PT_DIFFERENTIATION_NTAR_ID,0))</f>
        <v>Тариф на теплоноситель, посталяемый потребителям</v>
      </c>
      <c r="H276" s="1757"/>
      <c r="I276" s="1635">
        <v>46023.463125000002</v>
      </c>
      <c r="J276" s="1669">
        <v>46387.463182870371</v>
      </c>
      <c r="K276" s="1674">
        <v>0</v>
      </c>
      <c r="L276" s="1757" t="s">
        <v>514</v>
      </c>
      <c r="M276" s="276"/>
      <c r="N276" s="269"/>
      <c r="O276" s="1548"/>
      <c r="P276" s="1548"/>
      <c r="AH276" s="1555">
        <v>0</v>
      </c>
    </row>
    <row r="277" spans="1:34" s="1559" customFormat="1" ht="18.75" customHeight="1">
      <c r="A277" s="1676"/>
      <c r="B277" s="1676"/>
      <c r="C277" s="303" t="s">
        <v>1354</v>
      </c>
      <c r="D277" s="4189"/>
      <c r="E277" s="3990"/>
      <c r="F277" s="4127"/>
      <c r="G277" s="4164"/>
      <c r="H277" s="1424"/>
      <c r="I277" s="585" t="s">
        <v>1353</v>
      </c>
      <c r="J277" s="505"/>
      <c r="K277" s="1424"/>
      <c r="L277" s="149"/>
      <c r="M277" s="276"/>
      <c r="N277" s="269"/>
      <c r="O277" s="1548"/>
      <c r="P277" s="1548"/>
      <c r="AH277" s="1555">
        <v>0</v>
      </c>
    </row>
    <row r="278" spans="1:34" s="1559" customFormat="1" ht="0.75" customHeight="1">
      <c r="A278" s="1676"/>
      <c r="B278" s="1676"/>
      <c r="C278" s="303" t="s">
        <v>1363</v>
      </c>
      <c r="D278" s="4189"/>
      <c r="E278" s="3990"/>
      <c r="F278" s="4127"/>
      <c r="G278" s="334"/>
      <c r="H278" s="1424"/>
      <c r="I278" s="585"/>
      <c r="J278" s="505"/>
      <c r="K278" s="1424"/>
      <c r="L278" s="149"/>
      <c r="M278" s="276"/>
      <c r="N278" s="269"/>
      <c r="O278" s="1548"/>
      <c r="P278" s="1548"/>
      <c r="AH278" s="1555">
        <v>0</v>
      </c>
    </row>
    <row r="279" spans="1:34" s="1559" customFormat="1" ht="45" customHeight="1">
      <c r="A279" s="1676" t="s">
        <v>383</v>
      </c>
      <c r="B279" s="1676" t="s">
        <v>384</v>
      </c>
      <c r="C279" s="303"/>
      <c r="D279" s="4189"/>
      <c r="E279" s="3990"/>
      <c r="F279" s="412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4164" t="str">
        <f>INDEX(PT_DIFFERENTIATION_NTAR,MATCH(B279,PT_DIFFERENTIATION_NTAR_ID,0))</f>
        <v>Тариф на горячую воду с использованиемоткрытой системы горячего водоснабжения</v>
      </c>
      <c r="H279" s="1757"/>
      <c r="I279" s="1635">
        <v>46023.463263888887</v>
      </c>
      <c r="J279" s="1669">
        <v>46387.46334490741</v>
      </c>
      <c r="K279" s="1674">
        <v>0</v>
      </c>
      <c r="L279" s="1757" t="s">
        <v>514</v>
      </c>
      <c r="M279" s="276"/>
      <c r="N279" s="269"/>
      <c r="O279" s="1548"/>
      <c r="P279" s="1548"/>
      <c r="AH279" s="1555">
        <v>0</v>
      </c>
    </row>
    <row r="280" spans="1:34" s="1559" customFormat="1" ht="18.75" customHeight="1">
      <c r="A280" s="1676"/>
      <c r="B280" s="1676"/>
      <c r="C280" s="303" t="s">
        <v>1354</v>
      </c>
      <c r="D280" s="4189"/>
      <c r="E280" s="3990"/>
      <c r="F280" s="4127"/>
      <c r="G280" s="4164"/>
      <c r="H280" s="1424"/>
      <c r="I280" s="585" t="s">
        <v>1353</v>
      </c>
      <c r="J280" s="505"/>
      <c r="K280" s="1424"/>
      <c r="L280" s="149"/>
      <c r="M280" s="276"/>
      <c r="N280" s="269"/>
      <c r="O280" s="1548"/>
      <c r="P280" s="1548"/>
      <c r="AH280" s="1555">
        <v>0</v>
      </c>
    </row>
    <row r="281" spans="1:34" s="1559" customFormat="1" ht="0.75" customHeight="1">
      <c r="A281" s="1676"/>
      <c r="B281" s="1676"/>
      <c r="C281" s="303" t="s">
        <v>1363</v>
      </c>
      <c r="D281" s="4189"/>
      <c r="E281" s="3990"/>
      <c r="F281" s="4127"/>
      <c r="G281" s="334"/>
      <c r="H281" s="1424"/>
      <c r="I281" s="585"/>
      <c r="J281" s="505"/>
      <c r="K281" s="1424"/>
      <c r="L281" s="149"/>
      <c r="M281" s="276"/>
      <c r="N281" s="269"/>
      <c r="O281" s="1548"/>
      <c r="P281" s="1548"/>
      <c r="AH281" s="1555">
        <v>0</v>
      </c>
    </row>
    <row r="282" spans="1:34" s="1559" customFormat="1" ht="18.75" hidden="1" customHeight="1">
      <c r="A282" s="1676" t="s">
        <v>389</v>
      </c>
      <c r="B282" s="1676" t="s">
        <v>390</v>
      </c>
      <c r="C282" s="303"/>
      <c r="D282" s="4189"/>
      <c r="E282" s="3990"/>
      <c r="F282" s="4127" t="str">
        <f>INDEX(PT_DIFFERENTIATION_VTAR,MATCH(A282,PT_DIFFERENTIATION_VTAR_ID,0))</f>
        <v>Тарифы на услуги по передаче тепловой энергии</v>
      </c>
      <c r="G282" s="4164" t="str">
        <f>INDEX(PT_DIFFERENTIATION_NTAR,MATCH(B282,PT_DIFFERENTIATION_NTAR_ID,0))</f>
        <v/>
      </c>
      <c r="H282" s="1757"/>
      <c r="I282" s="1635"/>
      <c r="J282" s="1669"/>
      <c r="K282" s="1674"/>
      <c r="L282" s="1757" t="s">
        <v>514</v>
      </c>
      <c r="M282" s="276"/>
      <c r="N282" s="269"/>
      <c r="O282" s="1548"/>
      <c r="P282" s="1548"/>
      <c r="AH282" s="1555">
        <v>0</v>
      </c>
    </row>
    <row r="283" spans="1:34" s="1559" customFormat="1" ht="18.75" hidden="1" customHeight="1">
      <c r="A283" s="1676"/>
      <c r="B283" s="1676"/>
      <c r="C283" s="303" t="s">
        <v>1354</v>
      </c>
      <c r="D283" s="4189"/>
      <c r="E283" s="3990"/>
      <c r="F283" s="4127"/>
      <c r="G283" s="4164"/>
      <c r="H283" s="1424"/>
      <c r="I283" s="585" t="s">
        <v>1353</v>
      </c>
      <c r="J283" s="505"/>
      <c r="K283" s="1424"/>
      <c r="L283" s="149"/>
      <c r="M283" s="276"/>
      <c r="N283" s="269"/>
      <c r="O283" s="1548"/>
      <c r="P283" s="1548"/>
      <c r="AH283" s="1555">
        <v>0</v>
      </c>
    </row>
    <row r="284" spans="1:34" s="1559" customFormat="1" ht="0.75" hidden="1" customHeight="1">
      <c r="A284" s="1676"/>
      <c r="B284" s="1676"/>
      <c r="C284" s="303" t="s">
        <v>1363</v>
      </c>
      <c r="D284" s="4189"/>
      <c r="E284" s="3990"/>
      <c r="F284" s="4127"/>
      <c r="G284" s="334"/>
      <c r="H284" s="1424"/>
      <c r="I284" s="585"/>
      <c r="J284" s="505"/>
      <c r="K284" s="1424"/>
      <c r="L284" s="149"/>
      <c r="M284" s="276"/>
      <c r="N284" s="269"/>
      <c r="O284" s="1548"/>
      <c r="P284" s="1548"/>
      <c r="AH284" s="1555">
        <v>0</v>
      </c>
    </row>
    <row r="285" spans="1:34" s="1559" customFormat="1" ht="18.75" hidden="1" customHeight="1">
      <c r="A285" s="1676" t="s">
        <v>395</v>
      </c>
      <c r="B285" s="1676" t="s">
        <v>396</v>
      </c>
      <c r="C285" s="303"/>
      <c r="D285" s="4189"/>
      <c r="E285" s="3990"/>
      <c r="F285" s="4127" t="str">
        <f>INDEX(PT_DIFFERENTIATION_VTAR,MATCH(A285,PT_DIFFERENTIATION_VTAR_ID,0))</f>
        <v>Тарифы на услуги по передаче теплоносителя</v>
      </c>
      <c r="G285" s="4164" t="str">
        <f>INDEX(PT_DIFFERENTIATION_NTAR,MATCH(B285,PT_DIFFERENTIATION_NTAR_ID,0))</f>
        <v/>
      </c>
      <c r="H285" s="1757"/>
      <c r="I285" s="1635"/>
      <c r="J285" s="1669"/>
      <c r="K285" s="1674"/>
      <c r="L285" s="1757" t="s">
        <v>514</v>
      </c>
      <c r="M285" s="276"/>
      <c r="N285" s="269"/>
      <c r="O285" s="1548"/>
      <c r="P285" s="1548"/>
      <c r="AH285" s="1555">
        <v>0</v>
      </c>
    </row>
    <row r="286" spans="1:34" s="1559" customFormat="1" ht="18.75" hidden="1" customHeight="1">
      <c r="A286" s="1676"/>
      <c r="B286" s="1676"/>
      <c r="C286" s="303" t="s">
        <v>1354</v>
      </c>
      <c r="D286" s="4189"/>
      <c r="E286" s="3990"/>
      <c r="F286" s="4127"/>
      <c r="G286" s="4164"/>
      <c r="H286" s="1424"/>
      <c r="I286" s="585" t="s">
        <v>1353</v>
      </c>
      <c r="J286" s="505"/>
      <c r="K286" s="1424"/>
      <c r="L286" s="149"/>
      <c r="M286" s="276"/>
      <c r="N286" s="269"/>
      <c r="O286" s="1548"/>
      <c r="P286" s="1548"/>
      <c r="AH286" s="1555">
        <v>0</v>
      </c>
    </row>
    <row r="287" spans="1:34" s="1559" customFormat="1" ht="0.75" hidden="1" customHeight="1">
      <c r="A287" s="1676"/>
      <c r="B287" s="1676"/>
      <c r="C287" s="303" t="s">
        <v>1363</v>
      </c>
      <c r="D287" s="4189"/>
      <c r="E287" s="3990"/>
      <c r="F287" s="4127"/>
      <c r="G287" s="334"/>
      <c r="H287" s="1424"/>
      <c r="I287" s="585"/>
      <c r="J287" s="505"/>
      <c r="K287" s="1424"/>
      <c r="L287" s="149"/>
      <c r="M287" s="276"/>
      <c r="N287" s="269"/>
      <c r="O287" s="1548"/>
      <c r="P287" s="1548"/>
      <c r="AH287" s="1555">
        <v>0</v>
      </c>
    </row>
    <row r="288" spans="1:34" s="1559" customFormat="1" ht="18.75" hidden="1" customHeight="1">
      <c r="A288" s="1676" t="s">
        <v>401</v>
      </c>
      <c r="B288" s="1676" t="s">
        <v>402</v>
      </c>
      <c r="C288" s="303"/>
      <c r="D288" s="4189"/>
      <c r="E288" s="3990"/>
      <c r="F288" s="412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4164" t="str">
        <f>INDEX(PT_DIFFERENTIATION_NTAR,MATCH(B288,PT_DIFFERENTIATION_NTAR_ID,0))</f>
        <v/>
      </c>
      <c r="H288" s="1757"/>
      <c r="I288" s="1635"/>
      <c r="J288" s="1669"/>
      <c r="K288" s="1674"/>
      <c r="L288" s="1757" t="s">
        <v>514</v>
      </c>
      <c r="M288" s="276"/>
      <c r="N288" s="269"/>
      <c r="O288" s="1548"/>
      <c r="P288" s="1548"/>
      <c r="AH288" s="1555">
        <v>0</v>
      </c>
    </row>
    <row r="289" spans="1:34" s="1559" customFormat="1" ht="18.75" hidden="1" customHeight="1">
      <c r="A289" s="1676"/>
      <c r="B289" s="1676"/>
      <c r="C289" s="303" t="s">
        <v>1354</v>
      </c>
      <c r="D289" s="4189"/>
      <c r="E289" s="3990"/>
      <c r="F289" s="4127"/>
      <c r="G289" s="4164"/>
      <c r="H289" s="1424"/>
      <c r="I289" s="585" t="s">
        <v>1353</v>
      </c>
      <c r="J289" s="505"/>
      <c r="K289" s="1424"/>
      <c r="L289" s="149"/>
      <c r="M289" s="276"/>
      <c r="N289" s="269"/>
      <c r="O289" s="1548"/>
      <c r="P289" s="1548"/>
      <c r="AH289" s="1555">
        <v>0</v>
      </c>
    </row>
    <row r="290" spans="1:34" s="1559" customFormat="1" ht="0.75" hidden="1" customHeight="1">
      <c r="A290" s="1676"/>
      <c r="B290" s="1676"/>
      <c r="C290" s="303" t="s">
        <v>1363</v>
      </c>
      <c r="D290" s="4189"/>
      <c r="E290" s="3990"/>
      <c r="F290" s="4127"/>
      <c r="G290" s="334"/>
      <c r="H290" s="1424"/>
      <c r="I290" s="585"/>
      <c r="J290" s="505"/>
      <c r="K290" s="1424"/>
      <c r="L290" s="149"/>
      <c r="M290" s="276"/>
      <c r="N290" s="269"/>
      <c r="O290" s="1548"/>
      <c r="P290" s="1548"/>
      <c r="AH290" s="1555">
        <v>0</v>
      </c>
    </row>
    <row r="291" spans="1:34" s="1559" customFormat="1" ht="18.75" hidden="1" customHeight="1">
      <c r="A291" s="1676" t="s">
        <v>407</v>
      </c>
      <c r="B291" s="1676" t="s">
        <v>408</v>
      </c>
      <c r="C291" s="303"/>
      <c r="D291" s="4189"/>
      <c r="E291" s="3990"/>
      <c r="F291" s="4127" t="str">
        <f>INDEX(PT_DIFFERENTIATION_VTAR,MATCH(A291,PT_DIFFERENTIATION_VTAR_ID,0))</f>
        <v>Плата за подключение (технологическое присоединение) к системе теплоснабжения</v>
      </c>
      <c r="G291" s="4164" t="str">
        <f>INDEX(PT_DIFFERENTIATION_NTAR,MATCH(B291,PT_DIFFERENTIATION_NTAR_ID,0))</f>
        <v/>
      </c>
      <c r="H291" s="1757"/>
      <c r="I291" s="1635"/>
      <c r="J291" s="1669"/>
      <c r="K291" s="1674"/>
      <c r="L291" s="1757" t="s">
        <v>514</v>
      </c>
      <c r="M291" s="276"/>
      <c r="N291" s="269"/>
      <c r="O291" s="1548"/>
      <c r="P291" s="1548"/>
      <c r="AH291" s="1555">
        <v>0</v>
      </c>
    </row>
    <row r="292" spans="1:34" s="1559" customFormat="1" ht="18.75" hidden="1" customHeight="1">
      <c r="A292" s="1676"/>
      <c r="B292" s="1676"/>
      <c r="C292" s="303" t="s">
        <v>1354</v>
      </c>
      <c r="D292" s="4189"/>
      <c r="E292" s="3990"/>
      <c r="F292" s="4127"/>
      <c r="G292" s="4164"/>
      <c r="H292" s="1424"/>
      <c r="I292" s="585" t="s">
        <v>1353</v>
      </c>
      <c r="J292" s="505"/>
      <c r="K292" s="1424"/>
      <c r="L292" s="149"/>
      <c r="M292" s="276"/>
      <c r="N292" s="269"/>
      <c r="O292" s="1548"/>
      <c r="P292" s="1548"/>
      <c r="AH292" s="1555">
        <v>0</v>
      </c>
    </row>
    <row r="293" spans="1:34" s="1559" customFormat="1" ht="0.75" hidden="1" customHeight="1">
      <c r="A293" s="1676"/>
      <c r="B293" s="1676"/>
      <c r="C293" s="303" t="s">
        <v>1363</v>
      </c>
      <c r="D293" s="4189"/>
      <c r="E293" s="3990"/>
      <c r="F293" s="4127"/>
      <c r="G293" s="334"/>
      <c r="H293" s="1424"/>
      <c r="I293" s="585"/>
      <c r="J293" s="505"/>
      <c r="K293" s="1424"/>
      <c r="L293" s="149"/>
      <c r="M293" s="276"/>
      <c r="N293" s="269"/>
      <c r="O293" s="1548"/>
      <c r="P293" s="1548"/>
      <c r="AH293" s="1555">
        <v>0</v>
      </c>
    </row>
    <row r="294" spans="1:34" s="1559" customFormat="1" ht="18.75" hidden="1" customHeight="1">
      <c r="A294" s="1676" t="s">
        <v>413</v>
      </c>
      <c r="B294" s="1676" t="s">
        <v>414</v>
      </c>
      <c r="C294" s="303"/>
      <c r="D294" s="4189"/>
      <c r="E294" s="3990"/>
      <c r="F294" s="4127" t="str">
        <f>INDEX(PT_DIFFERENTIATION_VTAR,MATCH(A294,PT_DIFFERENTIATION_VTAR_ID,0))</f>
        <v>Плата за подключение (технологическое присоединение) к системе теплоснабжения (индивидуальная)</v>
      </c>
      <c r="G294" s="4164" t="str">
        <f>INDEX(PT_DIFFERENTIATION_NTAR,MATCH(B294,PT_DIFFERENTIATION_NTAR_ID,0))</f>
        <v/>
      </c>
      <c r="H294" s="1881"/>
      <c r="I294" s="1635"/>
      <c r="J294" s="1669"/>
      <c r="K294" s="1674"/>
      <c r="L294" s="1881" t="s">
        <v>514</v>
      </c>
      <c r="M294" s="276"/>
      <c r="N294" s="269"/>
      <c r="O294" s="1548"/>
      <c r="P294" s="1548"/>
      <c r="AH294" s="1555">
        <v>0</v>
      </c>
    </row>
    <row r="295" spans="1:34" s="1559" customFormat="1" ht="18.75" hidden="1" customHeight="1">
      <c r="A295" s="1676"/>
      <c r="B295" s="1676"/>
      <c r="C295" s="303" t="s">
        <v>1354</v>
      </c>
      <c r="D295" s="4189"/>
      <c r="E295" s="3990"/>
      <c r="F295" s="4127"/>
      <c r="G295" s="4164"/>
      <c r="H295" s="1424"/>
      <c r="I295" s="585" t="s">
        <v>1353</v>
      </c>
      <c r="J295" s="505"/>
      <c r="K295" s="1424"/>
      <c r="L295" s="149"/>
      <c r="M295" s="276"/>
      <c r="N295" s="269"/>
      <c r="O295" s="1548"/>
      <c r="P295" s="1548"/>
      <c r="AH295" s="1555">
        <v>0</v>
      </c>
    </row>
    <row r="296" spans="1:34" s="1559" customFormat="1" ht="0.75" hidden="1" customHeight="1">
      <c r="A296" s="1676"/>
      <c r="B296" s="1676"/>
      <c r="C296" s="303" t="s">
        <v>1363</v>
      </c>
      <c r="D296" s="4189"/>
      <c r="E296" s="3990"/>
      <c r="F296" s="4127"/>
      <c r="G296" s="334"/>
      <c r="H296" s="1424"/>
      <c r="I296" s="585"/>
      <c r="J296" s="505"/>
      <c r="K296" s="1424"/>
      <c r="L296" s="149"/>
      <c r="M296" s="276"/>
      <c r="N296" s="269"/>
      <c r="O296" s="1548"/>
      <c r="P296" s="1548"/>
      <c r="AH296" s="1555">
        <v>0</v>
      </c>
    </row>
    <row r="297" spans="1:34" s="1559" customFormat="1" ht="18.75" hidden="1" customHeight="1">
      <c r="A297" s="1676" t="s">
        <v>433</v>
      </c>
      <c r="B297" s="1676" t="s">
        <v>434</v>
      </c>
      <c r="C297" s="303"/>
      <c r="D297" s="4189"/>
      <c r="E297" s="3990"/>
      <c r="F297" s="4127" t="str">
        <f>INDEX(PT_DIFFERENTIATION_VTAR,MATCH(A297,PT_DIFFERENTIATION_VTAR_ID,0))</f>
        <v>Тариф на питьевую воду (питьевое водоснабжение)</v>
      </c>
      <c r="G297" s="4164" t="str">
        <f>INDEX(PT_DIFFERENTIATION_NTAR,MATCH(B297,PT_DIFFERENTIATION_NTAR_ID,0))</f>
        <v/>
      </c>
      <c r="H297" s="1757"/>
      <c r="I297" s="1635"/>
      <c r="J297" s="1669"/>
      <c r="K297" s="1674"/>
      <c r="L297" s="1757" t="s">
        <v>514</v>
      </c>
      <c r="M297" s="276"/>
      <c r="N297" s="269"/>
      <c r="O297" s="1548"/>
      <c r="P297" s="1548"/>
      <c r="AH297" s="1555">
        <v>0</v>
      </c>
    </row>
    <row r="298" spans="1:34" s="1559" customFormat="1" ht="18.75" hidden="1" customHeight="1">
      <c r="A298" s="1676"/>
      <c r="B298" s="1676"/>
      <c r="C298" s="303" t="s">
        <v>1354</v>
      </c>
      <c r="D298" s="4189"/>
      <c r="E298" s="3990"/>
      <c r="F298" s="4127"/>
      <c r="G298" s="4164"/>
      <c r="H298" s="1424"/>
      <c r="I298" s="585" t="s">
        <v>1353</v>
      </c>
      <c r="J298" s="505"/>
      <c r="K298" s="1424"/>
      <c r="L298" s="149"/>
      <c r="M298" s="276"/>
      <c r="N298" s="269"/>
      <c r="O298" s="1548"/>
      <c r="P298" s="1548"/>
      <c r="AH298" s="1555">
        <v>0</v>
      </c>
    </row>
    <row r="299" spans="1:34" s="1559" customFormat="1" ht="0.75" hidden="1" customHeight="1">
      <c r="A299" s="1676"/>
      <c r="B299" s="1676"/>
      <c r="C299" s="303" t="s">
        <v>1363</v>
      </c>
      <c r="D299" s="4189"/>
      <c r="E299" s="3990"/>
      <c r="F299" s="4127"/>
      <c r="G299" s="334"/>
      <c r="H299" s="1424"/>
      <c r="I299" s="585"/>
      <c r="J299" s="505"/>
      <c r="K299" s="1424"/>
      <c r="L299" s="149"/>
      <c r="M299" s="276"/>
      <c r="N299" s="269"/>
      <c r="O299" s="1548"/>
      <c r="P299" s="1548"/>
      <c r="AH299" s="1555">
        <v>0</v>
      </c>
    </row>
    <row r="300" spans="1:34" s="1559" customFormat="1" ht="18.75" hidden="1" customHeight="1">
      <c r="A300" s="1676" t="s">
        <v>438</v>
      </c>
      <c r="B300" s="1676" t="s">
        <v>439</v>
      </c>
      <c r="C300" s="303"/>
      <c r="D300" s="4189"/>
      <c r="E300" s="3990"/>
      <c r="F300" s="4127" t="str">
        <f>INDEX(PT_DIFFERENTIATION_VTAR,MATCH(A300,PT_DIFFERENTIATION_VTAR_ID,0))</f>
        <v>Тариф на техническую воду</v>
      </c>
      <c r="G300" s="4164" t="str">
        <f>INDEX(PT_DIFFERENTIATION_NTAR,MATCH(B300,PT_DIFFERENTIATION_NTAR_ID,0))</f>
        <v/>
      </c>
      <c r="H300" s="1757"/>
      <c r="I300" s="1635"/>
      <c r="J300" s="1669"/>
      <c r="K300" s="1674"/>
      <c r="L300" s="1757" t="s">
        <v>514</v>
      </c>
      <c r="M300" s="276"/>
      <c r="N300" s="269"/>
      <c r="O300" s="1548"/>
      <c r="P300" s="1548"/>
      <c r="AH300" s="1555">
        <v>0</v>
      </c>
    </row>
    <row r="301" spans="1:34" s="1559" customFormat="1" ht="18.75" hidden="1" customHeight="1">
      <c r="A301" s="1676"/>
      <c r="B301" s="1676"/>
      <c r="C301" s="303" t="s">
        <v>1354</v>
      </c>
      <c r="D301" s="4189"/>
      <c r="E301" s="3990"/>
      <c r="F301" s="4127"/>
      <c r="G301" s="4164"/>
      <c r="H301" s="1424"/>
      <c r="I301" s="585" t="s">
        <v>1353</v>
      </c>
      <c r="J301" s="505"/>
      <c r="K301" s="1424"/>
      <c r="L301" s="149"/>
      <c r="M301" s="276"/>
      <c r="N301" s="269"/>
      <c r="O301" s="1548"/>
      <c r="P301" s="1548"/>
      <c r="AH301" s="1555">
        <v>0</v>
      </c>
    </row>
    <row r="302" spans="1:34" s="1559" customFormat="1" ht="0.75" hidden="1" customHeight="1">
      <c r="A302" s="1676"/>
      <c r="B302" s="1676"/>
      <c r="C302" s="303" t="s">
        <v>1363</v>
      </c>
      <c r="D302" s="4189"/>
      <c r="E302" s="3990"/>
      <c r="F302" s="4127"/>
      <c r="G302" s="334"/>
      <c r="H302" s="1424"/>
      <c r="I302" s="585"/>
      <c r="J302" s="505"/>
      <c r="K302" s="1424"/>
      <c r="L302" s="149"/>
      <c r="M302" s="276"/>
      <c r="N302" s="269"/>
      <c r="O302" s="1548"/>
      <c r="P302" s="1548"/>
      <c r="AH302" s="1555">
        <v>0</v>
      </c>
    </row>
    <row r="303" spans="1:34" s="1559" customFormat="1" ht="18.75" hidden="1" customHeight="1">
      <c r="A303" s="1676" t="s">
        <v>443</v>
      </c>
      <c r="B303" s="1676" t="s">
        <v>444</v>
      </c>
      <c r="C303" s="303"/>
      <c r="D303" s="4189"/>
      <c r="E303" s="3990"/>
      <c r="F303" s="4127" t="str">
        <f>INDEX(PT_DIFFERENTIATION_VTAR,MATCH(A303,PT_DIFFERENTIATION_VTAR_ID,0))</f>
        <v>Тариф на транспортировку воды</v>
      </c>
      <c r="G303" s="4164" t="str">
        <f>INDEX(PT_DIFFERENTIATION_NTAR,MATCH(B303,PT_DIFFERENTIATION_NTAR_ID,0))</f>
        <v/>
      </c>
      <c r="H303" s="1757"/>
      <c r="I303" s="1635"/>
      <c r="J303" s="1669"/>
      <c r="K303" s="1674"/>
      <c r="L303" s="1757" t="s">
        <v>514</v>
      </c>
      <c r="M303" s="276"/>
      <c r="N303" s="269"/>
      <c r="O303" s="1548"/>
      <c r="P303" s="1548"/>
      <c r="AH303" s="1555">
        <v>0</v>
      </c>
    </row>
    <row r="304" spans="1:34" s="1559" customFormat="1" ht="18.75" hidden="1" customHeight="1">
      <c r="A304" s="1676"/>
      <c r="B304" s="1676"/>
      <c r="C304" s="303" t="s">
        <v>1354</v>
      </c>
      <c r="D304" s="4189"/>
      <c r="E304" s="3990"/>
      <c r="F304" s="4127"/>
      <c r="G304" s="4164"/>
      <c r="H304" s="1424"/>
      <c r="I304" s="585" t="s">
        <v>1353</v>
      </c>
      <c r="J304" s="505"/>
      <c r="K304" s="1424"/>
      <c r="L304" s="149"/>
      <c r="M304" s="276"/>
      <c r="N304" s="269"/>
      <c r="O304" s="1548"/>
      <c r="P304" s="1548"/>
      <c r="AH304" s="1555">
        <v>0</v>
      </c>
    </row>
    <row r="305" spans="1:34" s="1559" customFormat="1" ht="0.75" hidden="1" customHeight="1">
      <c r="A305" s="1676"/>
      <c r="B305" s="1676"/>
      <c r="C305" s="303" t="s">
        <v>1363</v>
      </c>
      <c r="D305" s="4189"/>
      <c r="E305" s="3990"/>
      <c r="F305" s="4127"/>
      <c r="G305" s="334"/>
      <c r="H305" s="1424"/>
      <c r="I305" s="585"/>
      <c r="J305" s="505"/>
      <c r="K305" s="1424"/>
      <c r="L305" s="149"/>
      <c r="M305" s="276"/>
      <c r="N305" s="269"/>
      <c r="O305" s="1548"/>
      <c r="P305" s="1548"/>
      <c r="AH305" s="1555">
        <v>0</v>
      </c>
    </row>
    <row r="306" spans="1:34" s="1559" customFormat="1" ht="18.75" hidden="1" customHeight="1">
      <c r="A306" s="1676" t="s">
        <v>448</v>
      </c>
      <c r="B306" s="1676" t="s">
        <v>449</v>
      </c>
      <c r="C306" s="303"/>
      <c r="D306" s="4189"/>
      <c r="E306" s="3990"/>
      <c r="F306" s="4127" t="str">
        <f>INDEX(PT_DIFFERENTIATION_VTAR,MATCH(A306,PT_DIFFERENTIATION_VTAR_ID,0))</f>
        <v>Тариф на подвоз воды</v>
      </c>
      <c r="G306" s="4164" t="str">
        <f>INDEX(PT_DIFFERENTIATION_NTAR,MATCH(B306,PT_DIFFERENTIATION_NTAR_ID,0))</f>
        <v/>
      </c>
      <c r="H306" s="1757"/>
      <c r="I306" s="1635"/>
      <c r="J306" s="1669"/>
      <c r="K306" s="1674"/>
      <c r="L306" s="1757" t="s">
        <v>514</v>
      </c>
      <c r="M306" s="276"/>
      <c r="N306" s="269"/>
      <c r="O306" s="1548"/>
      <c r="P306" s="1548"/>
      <c r="AH306" s="1555">
        <v>0</v>
      </c>
    </row>
    <row r="307" spans="1:34" s="1559" customFormat="1" ht="18.75" hidden="1" customHeight="1">
      <c r="A307" s="1676"/>
      <c r="B307" s="1676"/>
      <c r="C307" s="303" t="s">
        <v>1354</v>
      </c>
      <c r="D307" s="4189"/>
      <c r="E307" s="3990"/>
      <c r="F307" s="4127"/>
      <c r="G307" s="4164"/>
      <c r="H307" s="1424"/>
      <c r="I307" s="585" t="s">
        <v>1353</v>
      </c>
      <c r="J307" s="505"/>
      <c r="K307" s="1424"/>
      <c r="L307" s="149"/>
      <c r="M307" s="276"/>
      <c r="N307" s="269"/>
      <c r="O307" s="1548"/>
      <c r="P307" s="1548"/>
      <c r="AH307" s="1555">
        <v>0</v>
      </c>
    </row>
    <row r="308" spans="1:34" s="1559" customFormat="1" ht="0.75" hidden="1" customHeight="1">
      <c r="A308" s="1676"/>
      <c r="B308" s="1676"/>
      <c r="C308" s="303" t="s">
        <v>1363</v>
      </c>
      <c r="D308" s="4189"/>
      <c r="E308" s="3990"/>
      <c r="F308" s="4127"/>
      <c r="G308" s="334"/>
      <c r="H308" s="1424"/>
      <c r="I308" s="585"/>
      <c r="J308" s="505"/>
      <c r="K308" s="1424"/>
      <c r="L308" s="149"/>
      <c r="M308" s="276"/>
      <c r="N308" s="269"/>
      <c r="O308" s="1548"/>
      <c r="P308" s="1548"/>
      <c r="AH308" s="1555">
        <v>0</v>
      </c>
    </row>
    <row r="309" spans="1:34" s="1559" customFormat="1" ht="18.75" hidden="1" customHeight="1">
      <c r="A309" s="1676" t="s">
        <v>453</v>
      </c>
      <c r="B309" s="1676" t="s">
        <v>454</v>
      </c>
      <c r="C309" s="303"/>
      <c r="D309" s="4189"/>
      <c r="E309" s="3990"/>
      <c r="F309" s="412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4164" t="str">
        <f>INDEX(PT_DIFFERENTIATION_NTAR,MATCH(B309,PT_DIFFERENTIATION_NTAR_ID,0))</f>
        <v/>
      </c>
      <c r="H309" s="1757"/>
      <c r="I309" s="1635"/>
      <c r="J309" s="1669"/>
      <c r="K309" s="1674"/>
      <c r="L309" s="1757" t="s">
        <v>514</v>
      </c>
      <c r="M309" s="276"/>
      <c r="N309" s="269"/>
      <c r="O309" s="1548"/>
      <c r="P309" s="1548"/>
      <c r="AH309" s="1555">
        <v>0</v>
      </c>
    </row>
    <row r="310" spans="1:34" s="1559" customFormat="1" ht="18.75" hidden="1" customHeight="1">
      <c r="A310" s="1676"/>
      <c r="B310" s="1676"/>
      <c r="C310" s="303" t="s">
        <v>1354</v>
      </c>
      <c r="D310" s="4189"/>
      <c r="E310" s="3990"/>
      <c r="F310" s="4127"/>
      <c r="G310" s="4164"/>
      <c r="H310" s="1424"/>
      <c r="I310" s="585" t="s">
        <v>1353</v>
      </c>
      <c r="J310" s="505"/>
      <c r="K310" s="1424"/>
      <c r="L310" s="149"/>
      <c r="M310" s="276"/>
      <c r="N310" s="269"/>
      <c r="O310" s="1548"/>
      <c r="P310" s="1548"/>
      <c r="AH310" s="1555">
        <v>0</v>
      </c>
    </row>
    <row r="311" spans="1:34" s="1559" customFormat="1" ht="0.75" hidden="1" customHeight="1">
      <c r="A311" s="1676"/>
      <c r="B311" s="1676"/>
      <c r="C311" s="303" t="s">
        <v>1363</v>
      </c>
      <c r="D311" s="4189"/>
      <c r="E311" s="3990"/>
      <c r="F311" s="4127"/>
      <c r="G311" s="334"/>
      <c r="H311" s="1424"/>
      <c r="I311" s="585"/>
      <c r="J311" s="505"/>
      <c r="K311" s="1424"/>
      <c r="L311" s="149"/>
      <c r="M311" s="276"/>
      <c r="N311" s="269"/>
      <c r="O311" s="1548"/>
      <c r="P311" s="1548"/>
      <c r="AH311" s="1555">
        <v>0</v>
      </c>
    </row>
    <row r="312" spans="1:34" s="1559" customFormat="1" ht="18.75" hidden="1" customHeight="1">
      <c r="A312" s="1676" t="s">
        <v>458</v>
      </c>
      <c r="B312" s="1676" t="s">
        <v>459</v>
      </c>
      <c r="C312" s="303"/>
      <c r="D312" s="4189"/>
      <c r="E312" s="3990"/>
      <c r="F312" s="4127" t="str">
        <f>INDEX(PT_DIFFERENTIATION_VTAR,MATCH(A312,PT_DIFFERENTIATION_VTAR_ID,0))</f>
        <v>Тариф на горячую воду (горячее водоснабжение)</v>
      </c>
      <c r="G312" s="4164" t="str">
        <f>INDEX(PT_DIFFERENTIATION_NTAR,MATCH(B312,PT_DIFFERENTIATION_NTAR_ID,0))</f>
        <v/>
      </c>
      <c r="H312" s="1757"/>
      <c r="I312" s="1635"/>
      <c r="J312" s="1669"/>
      <c r="K312" s="1674"/>
      <c r="L312" s="1757" t="s">
        <v>514</v>
      </c>
      <c r="M312" s="276"/>
      <c r="N312" s="269"/>
      <c r="O312" s="1548"/>
      <c r="P312" s="1548"/>
      <c r="AH312" s="1555">
        <v>0</v>
      </c>
    </row>
    <row r="313" spans="1:34" s="1559" customFormat="1" ht="18.75" hidden="1" customHeight="1">
      <c r="A313" s="1676"/>
      <c r="B313" s="1676"/>
      <c r="C313" s="303" t="s">
        <v>1354</v>
      </c>
      <c r="D313" s="4189"/>
      <c r="E313" s="3990"/>
      <c r="F313" s="4127"/>
      <c r="G313" s="4164"/>
      <c r="H313" s="1424"/>
      <c r="I313" s="585" t="s">
        <v>1353</v>
      </c>
      <c r="J313" s="505"/>
      <c r="K313" s="1424"/>
      <c r="L313" s="149"/>
      <c r="M313" s="276"/>
      <c r="N313" s="269"/>
      <c r="O313" s="1548"/>
      <c r="P313" s="1548"/>
      <c r="AH313" s="1555">
        <v>0</v>
      </c>
    </row>
    <row r="314" spans="1:34" s="1559" customFormat="1" ht="0.75" hidden="1" customHeight="1">
      <c r="A314" s="1676"/>
      <c r="B314" s="1676"/>
      <c r="C314" s="303" t="s">
        <v>1363</v>
      </c>
      <c r="D314" s="4189"/>
      <c r="E314" s="3990"/>
      <c r="F314" s="4127"/>
      <c r="G314" s="334"/>
      <c r="H314" s="1424"/>
      <c r="I314" s="585"/>
      <c r="J314" s="505"/>
      <c r="K314" s="1424"/>
      <c r="L314" s="149"/>
      <c r="M314" s="276"/>
      <c r="N314" s="269"/>
      <c r="O314" s="1548"/>
      <c r="P314" s="1548"/>
      <c r="AH314" s="1555">
        <v>0</v>
      </c>
    </row>
    <row r="315" spans="1:34" s="1559" customFormat="1" ht="18.75" hidden="1" customHeight="1">
      <c r="A315" s="1676" t="s">
        <v>463</v>
      </c>
      <c r="B315" s="1676" t="s">
        <v>464</v>
      </c>
      <c r="C315" s="303"/>
      <c r="D315" s="4189"/>
      <c r="E315" s="3990"/>
      <c r="F315" s="4127" t="str">
        <f>INDEX(PT_DIFFERENTIATION_VTAR,MATCH(A315,PT_DIFFERENTIATION_VTAR_ID,0))</f>
        <v>Тариф на транспортировку горячей воды</v>
      </c>
      <c r="G315" s="4164" t="str">
        <f>INDEX(PT_DIFFERENTIATION_NTAR,MATCH(B315,PT_DIFFERENTIATION_NTAR_ID,0))</f>
        <v/>
      </c>
      <c r="H315" s="1757"/>
      <c r="I315" s="1635"/>
      <c r="J315" s="1669"/>
      <c r="K315" s="1674"/>
      <c r="L315" s="1757" t="s">
        <v>514</v>
      </c>
      <c r="M315" s="276"/>
      <c r="N315" s="269"/>
      <c r="O315" s="1548"/>
      <c r="P315" s="1548"/>
      <c r="AH315" s="1555">
        <v>0</v>
      </c>
    </row>
    <row r="316" spans="1:34" s="1559" customFormat="1" ht="18.75" hidden="1" customHeight="1">
      <c r="A316" s="1676"/>
      <c r="B316" s="1676"/>
      <c r="C316" s="303" t="s">
        <v>1354</v>
      </c>
      <c r="D316" s="4189"/>
      <c r="E316" s="3990"/>
      <c r="F316" s="4127"/>
      <c r="G316" s="4164"/>
      <c r="H316" s="1424"/>
      <c r="I316" s="585" t="s">
        <v>1353</v>
      </c>
      <c r="J316" s="505"/>
      <c r="K316" s="1424"/>
      <c r="L316" s="149"/>
      <c r="M316" s="276"/>
      <c r="N316" s="269"/>
      <c r="O316" s="1548"/>
      <c r="P316" s="1548"/>
      <c r="AH316" s="1555">
        <v>0</v>
      </c>
    </row>
    <row r="317" spans="1:34" s="1559" customFormat="1" ht="0.75" hidden="1" customHeight="1">
      <c r="A317" s="1676"/>
      <c r="B317" s="1676"/>
      <c r="C317" s="303" t="s">
        <v>1363</v>
      </c>
      <c r="D317" s="4189"/>
      <c r="E317" s="3990"/>
      <c r="F317" s="4127"/>
      <c r="G317" s="334"/>
      <c r="H317" s="1424"/>
      <c r="I317" s="585"/>
      <c r="J317" s="505"/>
      <c r="K317" s="1424"/>
      <c r="L317" s="149"/>
      <c r="M317" s="276"/>
      <c r="N317" s="269"/>
      <c r="O317" s="1548"/>
      <c r="P317" s="1548"/>
      <c r="AH317" s="1555">
        <v>0</v>
      </c>
    </row>
    <row r="318" spans="1:34" s="1559" customFormat="1" ht="18.75" hidden="1" customHeight="1">
      <c r="A318" s="1676" t="s">
        <v>468</v>
      </c>
      <c r="B318" s="1676" t="s">
        <v>469</v>
      </c>
      <c r="C318" s="303"/>
      <c r="D318" s="4189"/>
      <c r="E318" s="3990"/>
      <c r="F318" s="4127" t="str">
        <f>INDEX(PT_DIFFERENTIATION_VTAR,MATCH(A318,PT_DIFFERENTIATION_VTAR_ID,0))</f>
        <v>Тариф на подключение (технологическое присоединение) к централизованной системе горячего водоснабжения</v>
      </c>
      <c r="G318" s="4164" t="str">
        <f>INDEX(PT_DIFFERENTIATION_NTAR,MATCH(B318,PT_DIFFERENTIATION_NTAR_ID,0))</f>
        <v/>
      </c>
      <c r="H318" s="1757"/>
      <c r="I318" s="1635"/>
      <c r="J318" s="1669"/>
      <c r="K318" s="1674"/>
      <c r="L318" s="1757" t="s">
        <v>514</v>
      </c>
      <c r="M318" s="276"/>
      <c r="N318" s="269"/>
      <c r="O318" s="1548"/>
      <c r="P318" s="1548"/>
      <c r="AH318" s="1555">
        <v>0</v>
      </c>
    </row>
    <row r="319" spans="1:34" s="1559" customFormat="1" ht="18.75" hidden="1" customHeight="1">
      <c r="A319" s="1676"/>
      <c r="B319" s="1676"/>
      <c r="C319" s="303" t="s">
        <v>1354</v>
      </c>
      <c r="D319" s="4189"/>
      <c r="E319" s="3990"/>
      <c r="F319" s="4127"/>
      <c r="G319" s="4164"/>
      <c r="H319" s="1424"/>
      <c r="I319" s="585" t="s">
        <v>1353</v>
      </c>
      <c r="J319" s="505"/>
      <c r="K319" s="1424"/>
      <c r="L319" s="149"/>
      <c r="M319" s="276"/>
      <c r="N319" s="269"/>
      <c r="O319" s="1548"/>
      <c r="P319" s="1548"/>
      <c r="AH319" s="1555">
        <v>0</v>
      </c>
    </row>
    <row r="320" spans="1:34" s="1559" customFormat="1" ht="0.75" hidden="1" customHeight="1">
      <c r="A320" s="1676"/>
      <c r="B320" s="1676"/>
      <c r="C320" s="303" t="s">
        <v>1363</v>
      </c>
      <c r="D320" s="4189"/>
      <c r="E320" s="3990"/>
      <c r="F320" s="4127"/>
      <c r="G320" s="334"/>
      <c r="H320" s="1424"/>
      <c r="I320" s="585"/>
      <c r="J320" s="505"/>
      <c r="K320" s="1424"/>
      <c r="L320" s="149"/>
      <c r="M320" s="276"/>
      <c r="N320" s="269"/>
      <c r="O320" s="1548"/>
      <c r="P320" s="1548"/>
      <c r="AH320" s="1555">
        <v>0</v>
      </c>
    </row>
    <row r="321" spans="1:34" s="1559" customFormat="1" ht="18.75" hidden="1" customHeight="1">
      <c r="A321" s="1676" t="s">
        <v>473</v>
      </c>
      <c r="B321" s="1676" t="s">
        <v>474</v>
      </c>
      <c r="C321" s="303"/>
      <c r="D321" s="4189"/>
      <c r="E321" s="3990"/>
      <c r="F321" s="4127" t="str">
        <f>INDEX(PT_DIFFERENTIATION_VTAR,MATCH(A321,PT_DIFFERENTIATION_VTAR_ID,0))</f>
        <v>Тариф на водоотведение</v>
      </c>
      <c r="G321" s="4164" t="str">
        <f>INDEX(PT_DIFFERENTIATION_NTAR,MATCH(B321,PT_DIFFERENTIATION_NTAR_ID,0))</f>
        <v/>
      </c>
      <c r="H321" s="1757"/>
      <c r="I321" s="1635"/>
      <c r="J321" s="1669"/>
      <c r="K321" s="1674"/>
      <c r="L321" s="1757" t="s">
        <v>514</v>
      </c>
      <c r="M321" s="276"/>
      <c r="N321" s="269"/>
      <c r="O321" s="1548"/>
      <c r="P321" s="1548"/>
      <c r="AH321" s="1555">
        <v>0</v>
      </c>
    </row>
    <row r="322" spans="1:34" s="1559" customFormat="1" ht="18.75" hidden="1" customHeight="1">
      <c r="A322" s="1676"/>
      <c r="B322" s="1676"/>
      <c r="C322" s="303" t="s">
        <v>1354</v>
      </c>
      <c r="D322" s="4189"/>
      <c r="E322" s="3990"/>
      <c r="F322" s="4127"/>
      <c r="G322" s="4164"/>
      <c r="H322" s="1424"/>
      <c r="I322" s="585" t="s">
        <v>1353</v>
      </c>
      <c r="J322" s="505"/>
      <c r="K322" s="1424"/>
      <c r="L322" s="149"/>
      <c r="M322" s="276"/>
      <c r="N322" s="269"/>
      <c r="O322" s="1548"/>
      <c r="P322" s="1548"/>
      <c r="AH322" s="1555">
        <v>0</v>
      </c>
    </row>
    <row r="323" spans="1:34" s="1559" customFormat="1" ht="0.75" hidden="1" customHeight="1">
      <c r="A323" s="1676"/>
      <c r="B323" s="1676"/>
      <c r="C323" s="303" t="s">
        <v>1363</v>
      </c>
      <c r="D323" s="4189"/>
      <c r="E323" s="3990"/>
      <c r="F323" s="4127"/>
      <c r="G323" s="334"/>
      <c r="H323" s="1424"/>
      <c r="I323" s="585"/>
      <c r="J323" s="505"/>
      <c r="K323" s="1424"/>
      <c r="L323" s="149"/>
      <c r="M323" s="276"/>
      <c r="N323" s="269"/>
      <c r="O323" s="1548"/>
      <c r="P323" s="1548"/>
      <c r="AH323" s="1555">
        <v>0</v>
      </c>
    </row>
    <row r="324" spans="1:34" s="1559" customFormat="1" ht="18.75" hidden="1" customHeight="1">
      <c r="A324" s="1676" t="s">
        <v>478</v>
      </c>
      <c r="B324" s="1676" t="s">
        <v>479</v>
      </c>
      <c r="C324" s="303"/>
      <c r="D324" s="4189"/>
      <c r="E324" s="3990"/>
      <c r="F324" s="4127" t="str">
        <f>INDEX(PT_DIFFERENTIATION_VTAR,MATCH(A324,PT_DIFFERENTIATION_VTAR_ID,0))</f>
        <v>Тариф на транспортировку сточных вод</v>
      </c>
      <c r="G324" s="4164" t="str">
        <f>INDEX(PT_DIFFERENTIATION_NTAR,MATCH(B324,PT_DIFFERENTIATION_NTAR_ID,0))</f>
        <v/>
      </c>
      <c r="H324" s="1757"/>
      <c r="I324" s="1635"/>
      <c r="J324" s="1669"/>
      <c r="K324" s="1674"/>
      <c r="L324" s="1757" t="s">
        <v>514</v>
      </c>
      <c r="M324" s="276"/>
      <c r="N324" s="269"/>
      <c r="O324" s="1548"/>
      <c r="P324" s="1548"/>
      <c r="AH324" s="1555">
        <v>0</v>
      </c>
    </row>
    <row r="325" spans="1:34" s="1559" customFormat="1" ht="18.75" hidden="1" customHeight="1">
      <c r="A325" s="1676"/>
      <c r="B325" s="1676"/>
      <c r="C325" s="303" t="s">
        <v>1354</v>
      </c>
      <c r="D325" s="4189"/>
      <c r="E325" s="3990"/>
      <c r="F325" s="4127"/>
      <c r="G325" s="4164"/>
      <c r="H325" s="1424"/>
      <c r="I325" s="585" t="s">
        <v>1353</v>
      </c>
      <c r="J325" s="505"/>
      <c r="K325" s="1424"/>
      <c r="L325" s="149"/>
      <c r="M325" s="276"/>
      <c r="N325" s="269"/>
      <c r="O325" s="1548"/>
      <c r="P325" s="1548"/>
      <c r="AH325" s="1555">
        <v>0</v>
      </c>
    </row>
    <row r="326" spans="1:34" s="1559" customFormat="1" ht="0.75" hidden="1" customHeight="1">
      <c r="A326" s="1676"/>
      <c r="B326" s="1676"/>
      <c r="C326" s="303" t="s">
        <v>1363</v>
      </c>
      <c r="D326" s="4189"/>
      <c r="E326" s="3990"/>
      <c r="F326" s="4127"/>
      <c r="G326" s="334"/>
      <c r="H326" s="1424"/>
      <c r="I326" s="585"/>
      <c r="J326" s="505"/>
      <c r="K326" s="1424"/>
      <c r="L326" s="149"/>
      <c r="M326" s="276"/>
      <c r="N326" s="269"/>
      <c r="O326" s="1548"/>
      <c r="P326" s="1548"/>
      <c r="AH326" s="1555">
        <v>0</v>
      </c>
    </row>
    <row r="327" spans="1:34" s="1559" customFormat="1" ht="18.75" hidden="1" customHeight="1">
      <c r="A327" s="1676" t="s">
        <v>483</v>
      </c>
      <c r="B327" s="1676" t="s">
        <v>484</v>
      </c>
      <c r="C327" s="303"/>
      <c r="D327" s="4189"/>
      <c r="E327" s="3990"/>
      <c r="F327" s="4127" t="str">
        <f>INDEX(PT_DIFFERENTIATION_VTAR,MATCH(A327,PT_DIFFERENTIATION_VTAR_ID,0))</f>
        <v>Тариф на подключение (технологическое присоединение) к централизованной системе водоотведения</v>
      </c>
      <c r="G327" s="4164" t="str">
        <f>INDEX(PT_DIFFERENTIATION_NTAR,MATCH(B327,PT_DIFFERENTIATION_NTAR_ID,0))</f>
        <v/>
      </c>
      <c r="H327" s="1757"/>
      <c r="I327" s="1635"/>
      <c r="J327" s="1669"/>
      <c r="K327" s="1674"/>
      <c r="L327" s="1757" t="s">
        <v>514</v>
      </c>
      <c r="M327" s="276"/>
      <c r="N327" s="269"/>
      <c r="O327" s="1548"/>
      <c r="P327" s="1548"/>
      <c r="AH327" s="1555">
        <v>0</v>
      </c>
    </row>
    <row r="328" spans="1:34" s="1559" customFormat="1" ht="18.75" hidden="1" customHeight="1">
      <c r="A328" s="1676"/>
      <c r="B328" s="1676"/>
      <c r="C328" s="303" t="s">
        <v>1354</v>
      </c>
      <c r="D328" s="4189"/>
      <c r="E328" s="3990"/>
      <c r="F328" s="4127"/>
      <c r="G328" s="4164"/>
      <c r="H328" s="1424"/>
      <c r="I328" s="585" t="s">
        <v>1353</v>
      </c>
      <c r="J328" s="505"/>
      <c r="K328" s="1424"/>
      <c r="L328" s="149"/>
      <c r="M328" s="276"/>
      <c r="N328" s="269"/>
      <c r="O328" s="1548"/>
      <c r="P328" s="1548"/>
      <c r="AH328" s="1555">
        <v>0</v>
      </c>
    </row>
    <row r="329" spans="1:34" s="1559" customFormat="1" ht="1.1499999999999999" customHeight="1">
      <c r="A329" s="1676"/>
      <c r="B329" s="1676"/>
      <c r="C329" s="303" t="s">
        <v>1363</v>
      </c>
      <c r="D329" s="4189"/>
      <c r="E329" s="3990"/>
      <c r="F329" s="4127"/>
      <c r="G329" s="334"/>
      <c r="H329" s="1424"/>
      <c r="I329" s="585"/>
      <c r="J329" s="505"/>
      <c r="K329" s="1424"/>
      <c r="L329" s="149"/>
      <c r="M329" s="276"/>
      <c r="N329" s="269"/>
      <c r="O329" s="1548"/>
      <c r="P329" s="1548"/>
      <c r="AH329" s="1555">
        <v>1</v>
      </c>
    </row>
    <row r="330" spans="1:34" s="1718" customFormat="1" ht="3" customHeight="1">
      <c r="A330" s="1676"/>
      <c r="B330" s="1676"/>
      <c r="C330" s="1677"/>
      <c r="E330" s="336"/>
      <c r="F330" s="336"/>
      <c r="G330" s="336"/>
      <c r="H330" s="336"/>
      <c r="I330" s="336"/>
      <c r="J330" s="336"/>
      <c r="K330" s="336"/>
      <c r="L330" s="336"/>
      <c r="M330" s="336"/>
      <c r="O330" s="131"/>
      <c r="P330" s="131"/>
      <c r="AH330" s="77">
        <v>3</v>
      </c>
    </row>
    <row r="331" spans="1:34" ht="26.25" customHeight="1">
      <c r="E331" s="137"/>
      <c r="F331" s="4032"/>
      <c r="G331" s="4032"/>
      <c r="H331" s="4032"/>
      <c r="I331" s="4032"/>
      <c r="J331" s="4032"/>
      <c r="K331" s="4032"/>
      <c r="L331" s="4032"/>
      <c r="M331" s="4032"/>
      <c r="AH331" s="308">
        <v>25</v>
      </c>
    </row>
    <row r="332" spans="1:34" ht="14.25" hidden="1" customHeight="1">
      <c r="A332" s="1675" t="s">
        <v>69</v>
      </c>
      <c r="B332" s="1675">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1975" hidden="1" customWidth="1"/>
    <col min="2" max="2" width="9.140625" style="1290" hidden="1" customWidth="1"/>
    <col min="3" max="3" width="3" style="279" customWidth="1"/>
    <col min="4" max="4" width="6" style="1559" customWidth="1"/>
    <col min="5" max="5" width="53" style="1559" customWidth="1"/>
    <col min="6" max="7" width="35" style="1559" customWidth="1"/>
    <col min="8" max="8" width="89" style="1559" customWidth="1"/>
    <col min="9" max="9" width="10" style="1559" customWidth="1"/>
    <col min="10" max="11" width="10" style="1548" customWidth="1"/>
    <col min="12" max="17" width="10" style="1559" customWidth="1"/>
    <col min="18" max="18" width="10.5703125" style="1559" hidden="1"/>
  </cols>
  <sheetData>
    <row r="1" spans="1:18" ht="22.5" hidden="1" customHeight="1">
      <c r="N1" s="190"/>
      <c r="O1" s="190"/>
      <c r="Q1" s="190"/>
      <c r="R1" s="308" t="s">
        <v>1</v>
      </c>
    </row>
    <row r="2" spans="1:18" s="1559" customFormat="1" ht="18.75" hidden="1" customHeight="1">
      <c r="A2" s="41"/>
      <c r="B2" s="1084"/>
      <c r="C2" s="1626" t="s">
        <v>90</v>
      </c>
      <c r="D2" s="1597"/>
      <c r="E2" s="1606"/>
      <c r="F2" s="192"/>
      <c r="G2" s="1085"/>
      <c r="H2" s="308"/>
      <c r="I2" s="1548"/>
      <c r="J2" s="1548"/>
      <c r="R2" s="1555">
        <v>0</v>
      </c>
    </row>
    <row r="3" spans="1:18" ht="14.25" hidden="1" customHeight="1">
      <c r="R3" s="308">
        <v>0</v>
      </c>
    </row>
    <row r="4" spans="1:18" ht="6.4" customHeight="1">
      <c r="C4" s="310"/>
      <c r="D4" s="297"/>
      <c r="E4" s="297"/>
      <c r="F4" s="297"/>
      <c r="G4" s="24"/>
      <c r="H4" s="24"/>
      <c r="R4" s="308">
        <v>6</v>
      </c>
    </row>
    <row r="5" spans="1:18" ht="34.5" customHeight="1">
      <c r="C5" s="310"/>
      <c r="D5" s="394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945"/>
      <c r="F5" s="3945"/>
      <c r="G5" s="3946"/>
      <c r="H5" s="201"/>
      <c r="R5" s="308">
        <v>33</v>
      </c>
    </row>
    <row r="6" spans="1:18" s="1559" customFormat="1" ht="18" customHeight="1">
      <c r="A6" s="1593"/>
      <c r="B6" s="1084"/>
      <c r="C6" s="310"/>
      <c r="D6" s="4009" t="str">
        <f>IF(org=0,"Не определено",org)</f>
        <v>ООО "Смоленскрегионтеплоэнерго"</v>
      </c>
      <c r="E6" s="4010"/>
      <c r="F6" s="4010"/>
      <c r="G6" s="4011"/>
      <c r="H6" s="201"/>
      <c r="J6" s="1548"/>
      <c r="K6" s="1548"/>
      <c r="R6" s="1555">
        <v>17</v>
      </c>
    </row>
    <row r="7" spans="1:18" ht="14.65" customHeight="1">
      <c r="C7" s="310"/>
      <c r="D7" s="297"/>
      <c r="E7" s="323"/>
      <c r="F7" s="323"/>
      <c r="G7" s="686"/>
      <c r="H7" s="128"/>
      <c r="R7" s="308">
        <v>14</v>
      </c>
    </row>
    <row r="8" spans="1:18" ht="14.65" customHeight="1">
      <c r="C8" s="310"/>
      <c r="D8" s="3995" t="s">
        <v>508</v>
      </c>
      <c r="E8" s="3995"/>
      <c r="F8" s="3995"/>
      <c r="G8" s="3995"/>
      <c r="H8" s="4137" t="s">
        <v>509</v>
      </c>
      <c r="R8" s="308">
        <v>14</v>
      </c>
    </row>
    <row r="9" spans="1:18" ht="24" customHeight="1">
      <c r="C9" s="310"/>
      <c r="D9" s="320" t="s">
        <v>75</v>
      </c>
      <c r="E9" s="46" t="s">
        <v>510</v>
      </c>
      <c r="F9" s="46" t="s">
        <v>511</v>
      </c>
      <c r="G9" s="46" t="s">
        <v>598</v>
      </c>
      <c r="H9" s="4137"/>
      <c r="R9" s="308">
        <v>23</v>
      </c>
    </row>
    <row r="10" spans="1:18" ht="45" customHeight="1">
      <c r="A10" s="278"/>
      <c r="C10" s="310"/>
      <c r="D10" s="83" t="s">
        <v>184</v>
      </c>
      <c r="E10" s="178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t="s">
        <v>1364</v>
      </c>
      <c r="G10" s="148" t="s">
        <v>1365</v>
      </c>
      <c r="H10" s="3935" t="s">
        <v>1366</v>
      </c>
      <c r="R10" s="308">
        <v>14</v>
      </c>
    </row>
    <row r="11" spans="1:18" ht="40.5" customHeight="1">
      <c r="A11" s="278"/>
      <c r="C11" s="310"/>
      <c r="D11" s="83" t="s">
        <v>89</v>
      </c>
      <c r="E11" s="178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t="s">
        <v>1367</v>
      </c>
      <c r="G11" s="148" t="s">
        <v>1365</v>
      </c>
      <c r="H11" s="3936"/>
      <c r="R11" s="308">
        <v>14</v>
      </c>
    </row>
    <row r="12" spans="1:18" ht="37.5" customHeight="1">
      <c r="A12" s="41"/>
      <c r="C12" s="321"/>
      <c r="D12" s="83" t="s">
        <v>77</v>
      </c>
      <c r="E12" s="322" t="str">
        <f>"Сведения о планировании закупочных процедур"&amp;IF(TEMPLATE_SPHERE="TKO"," &lt;1&gt;","")</f>
        <v>Сведения о планировании закупочных процедур</v>
      </c>
      <c r="F12" s="192" t="s">
        <v>1368</v>
      </c>
      <c r="G12" s="3784" t="s">
        <v>1369</v>
      </c>
      <c r="H12" s="393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37.5" customHeight="1">
      <c r="A13" s="41"/>
      <c r="C13" s="321"/>
      <c r="D13" s="83" t="s">
        <v>78</v>
      </c>
      <c r="E13" s="322" t="str">
        <f>"Сведения о результатах проведения закупочных процедур"&amp;IF(TEMPLATE_SPHERE="TKO"," &lt;1&gt;","")</f>
        <v>Сведения о результатах проведения закупочных процедур</v>
      </c>
      <c r="F13" s="192" t="s">
        <v>1370</v>
      </c>
      <c r="G13" s="3784" t="s">
        <v>1371</v>
      </c>
      <c r="H13" s="3936"/>
      <c r="I13" s="284"/>
      <c r="K13" s="308"/>
      <c r="R13" s="308">
        <v>14</v>
      </c>
    </row>
    <row r="14" spans="1:18" ht="14.65" customHeight="1">
      <c r="A14" s="278"/>
      <c r="C14" s="310"/>
      <c r="D14" s="282"/>
      <c r="E14" s="329" t="s">
        <v>530</v>
      </c>
      <c r="F14" s="283"/>
      <c r="G14" s="136"/>
      <c r="H14" s="3937"/>
      <c r="R14" s="308">
        <v>14</v>
      </c>
    </row>
    <row r="15" spans="1:18" s="1559" customFormat="1" ht="14.65" customHeight="1">
      <c r="A15" s="278"/>
      <c r="B15" s="1084"/>
      <c r="C15" s="310"/>
      <c r="D15" s="330"/>
      <c r="E15" s="1601"/>
      <c r="F15" s="1602"/>
      <c r="G15" s="1603"/>
      <c r="H15" s="1604"/>
      <c r="J15" s="1548"/>
      <c r="K15" s="1548"/>
      <c r="R15" s="1555">
        <v>14</v>
      </c>
    </row>
    <row r="16" spans="1:18" ht="14.65" customHeight="1">
      <c r="D16" s="1605"/>
      <c r="E16" s="4032"/>
      <c r="F16" s="4032"/>
      <c r="G16" s="4032"/>
      <c r="H16" s="4032"/>
      <c r="R16" s="308">
        <v>14</v>
      </c>
    </row>
    <row r="17" spans="1:18" ht="22.5" hidden="1" customHeight="1">
      <c r="A17" s="298" t="s">
        <v>69</v>
      </c>
      <c r="B17" s="82">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tooltip="http://www.consultant.ru/document/cons_doc_LAW_116964/"/>
    <hyperlink ref="G11" r:id="rId2" tooltip="http://www.consultant.ru/document/cons_doc_LAW_116964/"/>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6" hidden="1" customWidth="1"/>
    <col min="2" max="2" width="9.140625" style="1559" hidden="1" customWidth="1"/>
    <col min="3" max="3" width="4" style="617" customWidth="1"/>
    <col min="4" max="4" width="6" style="1559" customWidth="1"/>
    <col min="5" max="5" width="47" style="1559" customWidth="1"/>
    <col min="6" max="6" width="9" style="1559" customWidth="1"/>
    <col min="7" max="7" width="25.7109375" style="1559" hidden="1" customWidth="1"/>
    <col min="8" max="8" width="34" style="1559" hidden="1" customWidth="1"/>
    <col min="9" max="9" width="25.7109375" style="1559" customWidth="1"/>
    <col min="10" max="10" width="33" style="1559" customWidth="1"/>
    <col min="11" max="11" width="50" style="1290" customWidth="1"/>
    <col min="12" max="20" width="10" style="1559" customWidth="1"/>
    <col min="21" max="21" width="10" style="609" customWidth="1"/>
    <col min="22" max="22" width="10.5703125" style="1559" hidden="1"/>
  </cols>
  <sheetData>
    <row r="1" spans="1:22" s="1290" customFormat="1" ht="22.5" hidden="1" customHeight="1">
      <c r="C1" s="606"/>
      <c r="G1" s="351">
        <v>4</v>
      </c>
      <c r="I1" s="351">
        <v>4</v>
      </c>
      <c r="U1" s="354"/>
      <c r="V1" s="351" t="s">
        <v>1</v>
      </c>
    </row>
    <row r="2" spans="1:22" s="1559" customFormat="1" ht="15" hidden="1" customHeight="1">
      <c r="A2" s="296"/>
      <c r="C2" s="111"/>
      <c r="D2" s="281"/>
      <c r="E2" s="607"/>
      <c r="F2" s="456"/>
      <c r="G2" s="550"/>
      <c r="H2" s="550"/>
      <c r="I2" s="550"/>
      <c r="J2" s="550"/>
      <c r="U2" s="608"/>
      <c r="V2" s="443">
        <v>0</v>
      </c>
    </row>
    <row r="3" spans="1:22" s="1290" customFormat="1" ht="15" hidden="1" customHeight="1">
      <c r="C3" s="606"/>
      <c r="U3" s="354"/>
      <c r="V3" s="351">
        <v>0</v>
      </c>
    </row>
    <row r="4" spans="1:22" ht="15.75" customHeight="1">
      <c r="C4" s="111"/>
      <c r="D4" s="443"/>
      <c r="E4" s="443"/>
      <c r="F4" s="443"/>
      <c r="G4" s="443"/>
      <c r="H4" s="443"/>
      <c r="I4" s="443"/>
      <c r="J4" s="443"/>
      <c r="V4" s="439">
        <v>15</v>
      </c>
    </row>
    <row r="5" spans="1:22" ht="66" customHeight="1">
      <c r="C5" s="111"/>
      <c r="D5" s="4014" t="s">
        <v>1372</v>
      </c>
      <c r="E5" s="4014"/>
      <c r="F5" s="4014"/>
      <c r="G5" s="4014"/>
      <c r="H5" s="4014"/>
      <c r="I5" s="4014"/>
      <c r="J5" s="4014"/>
      <c r="V5" s="439">
        <v>63</v>
      </c>
    </row>
    <row r="6" spans="1:22" ht="15.75" customHeight="1">
      <c r="C6" s="111"/>
      <c r="D6" s="3987" t="str">
        <f>IF(org=0,"Не определено",org)</f>
        <v>ООО "Смоленскрегионтеплоэнерго"</v>
      </c>
      <c r="E6" s="3987"/>
      <c r="F6" s="3987"/>
      <c r="G6" s="3987"/>
      <c r="H6" s="3987"/>
      <c r="I6" s="3987"/>
      <c r="J6" s="3987"/>
      <c r="K6" s="471"/>
      <c r="V6" s="439">
        <v>15</v>
      </c>
    </row>
    <row r="7" spans="1:22" ht="15.75" customHeight="1">
      <c r="C7" s="111"/>
      <c r="D7" s="686"/>
      <c r="E7" s="443"/>
      <c r="F7" s="443"/>
      <c r="G7" s="471">
        <v>22</v>
      </c>
      <c r="I7" s="471">
        <v>1</v>
      </c>
      <c r="J7" s="686"/>
      <c r="V7" s="439">
        <v>15</v>
      </c>
    </row>
    <row r="8" spans="1:22" s="1559" customFormat="1" ht="1.1499999999999999" customHeight="1">
      <c r="A8" s="691"/>
      <c r="C8" s="111"/>
      <c r="D8" s="443"/>
      <c r="E8" s="443"/>
      <c r="F8" s="443"/>
      <c r="G8" s="471"/>
      <c r="H8" s="686"/>
      <c r="I8" s="471" t="s">
        <v>189</v>
      </c>
      <c r="J8" s="686"/>
      <c r="K8" s="351"/>
      <c r="U8" s="609"/>
      <c r="V8" s="690">
        <v>1</v>
      </c>
    </row>
    <row r="9" spans="1:22" ht="15.75" customHeight="1">
      <c r="C9" s="111"/>
      <c r="D9" s="645"/>
      <c r="E9" s="4120" t="s">
        <v>180</v>
      </c>
      <c r="F9" s="4121"/>
      <c r="G9" s="4145" t="str">
        <f>IF(G8="","",INDEX(DIFFERENTIATION_UNMERGE_VD,MATCH(G8,DIFFERENTIATION_ID_DIFF,0)))</f>
        <v/>
      </c>
      <c r="H9" s="4146"/>
      <c r="I9" s="4145">
        <f>IF(I8="","",INDEX(DIFFERENTIATION_UNMERGE_VD,MATCH(I8,DIFFERENTIATION_ID_DIFF,0)))</f>
        <v>0</v>
      </c>
      <c r="J9" s="4146"/>
      <c r="K9" s="3967" t="s">
        <v>509</v>
      </c>
      <c r="V9" s="439">
        <v>15</v>
      </c>
    </row>
    <row r="10" spans="1:22" s="1559" customFormat="1" ht="15.75" customHeight="1">
      <c r="A10" s="691"/>
      <c r="C10" s="111"/>
      <c r="D10" s="645"/>
      <c r="E10" s="4120" t="s">
        <v>773</v>
      </c>
      <c r="F10" s="4121"/>
      <c r="G10" s="4145" t="str">
        <f>IF(G8="","",INDEX(DIFFERENTIATION_UNMERGE_AREA,MATCH(G8,DIFFERENTIATION_ID_DIFF,0)))</f>
        <v/>
      </c>
      <c r="H10" s="4146"/>
      <c r="I10" s="4145" t="str">
        <f>IF(I8="","",INDEX(DIFFERENTIATION_UNMERGE_AREA,MATCH(I8,DIFFERENTIATION_ID_DIFF,0)))</f>
        <v/>
      </c>
      <c r="J10" s="4146"/>
      <c r="K10" s="3972"/>
      <c r="U10" s="609"/>
      <c r="V10" s="690">
        <v>15</v>
      </c>
    </row>
    <row r="11" spans="1:22" s="1559" customFormat="1" ht="15.75" customHeight="1">
      <c r="A11" s="691"/>
      <c r="C11" s="111"/>
      <c r="D11" s="645"/>
      <c r="E11" s="4120" t="s">
        <v>774</v>
      </c>
      <c r="F11" s="4121"/>
      <c r="G11" s="4145" t="str">
        <f>IF(G8="","",INDEX(DIFFERENTIATION_UNMERGE_SYSTEM,MATCH(G8,DIFFERENTIATION_ID_DIFF,0)))</f>
        <v/>
      </c>
      <c r="H11" s="4146"/>
      <c r="I11" s="4145" t="str">
        <f>IF(I8="","",INDEX(DIFFERENTIATION_UNMERGE_SYSTEM,MATCH(I8,DIFFERENTIATION_ID_DIFF,0)))</f>
        <v>без дифференциации</v>
      </c>
      <c r="J11" s="4146"/>
      <c r="K11" s="3972"/>
      <c r="U11" s="609"/>
      <c r="V11" s="690">
        <v>15</v>
      </c>
    </row>
    <row r="12" spans="1:22" s="1559" customFormat="1" ht="15.75" customHeight="1">
      <c r="A12" s="691"/>
      <c r="C12" s="111"/>
      <c r="D12" s="4122" t="s">
        <v>508</v>
      </c>
      <c r="E12" s="4123"/>
      <c r="F12" s="4123"/>
      <c r="G12" s="814"/>
      <c r="H12" s="814"/>
      <c r="I12" s="814"/>
      <c r="J12" s="814"/>
      <c r="K12" s="3972"/>
      <c r="U12" s="609"/>
      <c r="V12" s="690">
        <v>15</v>
      </c>
    </row>
    <row r="13" spans="1:22" ht="35.65" customHeight="1">
      <c r="C13" s="111"/>
      <c r="D13" s="733" t="s">
        <v>75</v>
      </c>
      <c r="E13" s="735" t="s">
        <v>510</v>
      </c>
      <c r="F13" s="735" t="s">
        <v>775</v>
      </c>
      <c r="G13" s="736" t="s">
        <v>511</v>
      </c>
      <c r="H13" s="735" t="s">
        <v>598</v>
      </c>
      <c r="I13" s="736" t="s">
        <v>511</v>
      </c>
      <c r="J13" s="735" t="s">
        <v>598</v>
      </c>
      <c r="K13" s="4019"/>
      <c r="V13" s="439">
        <v>34</v>
      </c>
    </row>
    <row r="14" spans="1:22" ht="15" hidden="1" customHeight="1">
      <c r="C14" s="111"/>
      <c r="D14" s="527" t="s">
        <v>184</v>
      </c>
      <c r="E14" s="527" t="s">
        <v>89</v>
      </c>
      <c r="F14" s="527" t="s">
        <v>77</v>
      </c>
      <c r="G14" s="593" t="str">
        <f>G1&amp;".1"</f>
        <v>4.1</v>
      </c>
      <c r="H14" s="593"/>
      <c r="I14" s="593" t="str">
        <f>I1&amp;".1"</f>
        <v>4.1</v>
      </c>
      <c r="J14" s="593"/>
      <c r="K14" s="224"/>
      <c r="V14" s="439">
        <v>0</v>
      </c>
    </row>
    <row r="15" spans="1:22" ht="22.5" hidden="1" customHeight="1">
      <c r="A15" s="439"/>
      <c r="C15" s="460"/>
      <c r="D15" s="455">
        <v>1</v>
      </c>
      <c r="E15" s="611" t="s">
        <v>1017</v>
      </c>
      <c r="F15" s="455" t="s">
        <v>1018</v>
      </c>
      <c r="G15" s="612"/>
      <c r="H15" s="612"/>
      <c r="I15" s="612"/>
      <c r="J15" s="612"/>
      <c r="K15" s="224" t="s">
        <v>1019</v>
      </c>
      <c r="V15" s="439">
        <v>0</v>
      </c>
    </row>
    <row r="16" spans="1:22" ht="22.5" hidden="1" customHeight="1">
      <c r="A16" s="439"/>
      <c r="C16" s="460"/>
      <c r="D16" s="455">
        <v>2</v>
      </c>
      <c r="E16" s="214" t="s">
        <v>1020</v>
      </c>
      <c r="F16" s="455" t="s">
        <v>1021</v>
      </c>
      <c r="G16" s="612"/>
      <c r="H16" s="612"/>
      <c r="I16" s="612"/>
      <c r="J16" s="612"/>
      <c r="K16" s="224" t="s">
        <v>1022</v>
      </c>
      <c r="V16" s="439">
        <v>0</v>
      </c>
    </row>
    <row r="17" spans="1:22" ht="123.75" hidden="1" customHeight="1">
      <c r="A17" s="439"/>
      <c r="C17" s="460"/>
      <c r="D17" s="455">
        <v>3</v>
      </c>
      <c r="E17" s="214" t="s">
        <v>1373</v>
      </c>
      <c r="F17" s="455" t="s">
        <v>514</v>
      </c>
      <c r="G17" s="612"/>
      <c r="H17" s="612"/>
      <c r="I17" s="612"/>
      <c r="J17" s="612"/>
      <c r="K17" s="224" t="s">
        <v>1374</v>
      </c>
      <c r="V17" s="439">
        <v>0</v>
      </c>
    </row>
    <row r="18" spans="1:22" ht="48.2" customHeight="1">
      <c r="A18" s="439"/>
      <c r="C18" s="460"/>
      <c r="D18" s="455">
        <v>3</v>
      </c>
      <c r="E18" s="214" t="s">
        <v>1023</v>
      </c>
      <c r="F18" s="455" t="s">
        <v>514</v>
      </c>
      <c r="G18" s="737" t="s">
        <v>514</v>
      </c>
      <c r="H18" s="738" t="s">
        <v>514</v>
      </c>
      <c r="I18" s="455" t="s">
        <v>514</v>
      </c>
      <c r="J18" s="512" t="s">
        <v>514</v>
      </c>
      <c r="K18" s="224" t="s">
        <v>1375</v>
      </c>
      <c r="V18" s="439">
        <v>46</v>
      </c>
    </row>
    <row r="19" spans="1:22" ht="35.65" customHeight="1">
      <c r="A19" s="439"/>
      <c r="C19" s="460"/>
      <c r="D19" s="473" t="s">
        <v>532</v>
      </c>
      <c r="E19" s="493" t="s">
        <v>1025</v>
      </c>
      <c r="F19" s="455" t="s">
        <v>1026</v>
      </c>
      <c r="G19" s="745"/>
      <c r="H19" s="45"/>
      <c r="I19" s="745"/>
      <c r="J19" s="746"/>
      <c r="K19" s="613"/>
      <c r="V19" s="439">
        <v>34</v>
      </c>
    </row>
    <row r="20" spans="1:22" ht="35.65" customHeight="1">
      <c r="A20" s="439"/>
      <c r="C20" s="460"/>
      <c r="D20" s="1785" t="s">
        <v>540</v>
      </c>
      <c r="E20" s="493" t="s">
        <v>1027</v>
      </c>
      <c r="F20" s="455" t="s">
        <v>1028</v>
      </c>
      <c r="G20" s="745"/>
      <c r="H20" s="45"/>
      <c r="I20" s="745"/>
      <c r="J20" s="45"/>
      <c r="K20" s="613"/>
      <c r="V20" s="439">
        <v>34</v>
      </c>
    </row>
    <row r="21" spans="1:22" ht="48.2" customHeight="1">
      <c r="A21" s="439"/>
      <c r="C21" s="460"/>
      <c r="D21" s="1785" t="s">
        <v>542</v>
      </c>
      <c r="E21" s="493" t="s">
        <v>1029</v>
      </c>
      <c r="F21" s="455" t="s">
        <v>780</v>
      </c>
      <c r="G21" s="614"/>
      <c r="H21" s="45"/>
      <c r="I21" s="614"/>
      <c r="J21" s="45"/>
      <c r="K21" s="613"/>
      <c r="V21" s="439">
        <v>46</v>
      </c>
    </row>
    <row r="22" spans="1:22" ht="67.5" hidden="1" customHeight="1">
      <c r="A22" s="439"/>
      <c r="C22" s="460"/>
      <c r="D22" s="455">
        <v>5</v>
      </c>
      <c r="E22" s="214" t="s">
        <v>1376</v>
      </c>
      <c r="F22" s="455" t="s">
        <v>767</v>
      </c>
      <c r="G22" s="615"/>
      <c r="H22" s="616"/>
      <c r="I22" s="615"/>
      <c r="J22" s="616"/>
      <c r="K22" s="224" t="s">
        <v>1377</v>
      </c>
      <c r="V22" s="439">
        <v>0</v>
      </c>
    </row>
    <row r="23" spans="1:22" ht="33.75" hidden="1" customHeight="1">
      <c r="C23" s="385"/>
      <c r="D23" s="455">
        <v>6</v>
      </c>
      <c r="E23" s="214" t="s">
        <v>1378</v>
      </c>
      <c r="F23" s="455" t="s">
        <v>1379</v>
      </c>
      <c r="G23" s="615"/>
      <c r="H23" s="615"/>
      <c r="I23" s="615"/>
      <c r="J23" s="615"/>
      <c r="K23" s="224" t="s">
        <v>1380</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69</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5" hidden="1"/>
    <col min="3" max="4" width="3" style="1745" customWidth="1"/>
    <col min="5" max="6" width="15" style="1745" customWidth="1"/>
    <col min="7" max="7" width="11.5703125" style="1745" customWidth="1"/>
    <col min="8" max="9" width="3" style="1745" customWidth="1"/>
    <col min="10" max="10" width="12" style="1745" customWidth="1"/>
    <col min="11" max="11" width="0.28515625" style="1745" customWidth="1"/>
    <col min="12" max="13" width="10" style="1745" customWidth="1"/>
    <col min="14" max="15" width="3" style="1745" customWidth="1"/>
    <col min="16" max="16" width="19" style="1745" customWidth="1"/>
    <col min="17" max="17" width="0.28515625" style="1745" customWidth="1"/>
    <col min="18" max="19" width="10" style="1745" customWidth="1"/>
    <col min="20" max="21" width="3" style="1745" customWidth="1"/>
    <col min="22" max="22" width="25" style="1745" customWidth="1"/>
    <col min="23" max="23" width="0.28515625" style="1745" customWidth="1"/>
    <col min="24" max="25" width="10" style="1745" customWidth="1"/>
    <col min="26" max="27" width="3" style="1745" customWidth="1"/>
    <col min="28" max="28" width="16" style="1745" customWidth="1"/>
    <col min="29" max="29" width="0.28515625" style="1745" customWidth="1"/>
    <col min="30" max="31" width="10" style="1745" customWidth="1"/>
    <col min="32" max="33" width="3" style="1745" customWidth="1"/>
    <col min="34" max="34" width="8" style="1745" customWidth="1"/>
    <col min="35" max="35" width="21" style="1745" customWidth="1"/>
    <col min="36" max="36" width="8" style="1745" customWidth="1"/>
    <col min="37" max="37" width="8" style="292" customWidth="1"/>
    <col min="38" max="64" width="8" style="1745" customWidth="1"/>
    <col min="65" max="65" width="9.140625" style="1745" hidden="1"/>
  </cols>
  <sheetData>
    <row r="1" spans="1:65" s="1240"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v>
      </c>
    </row>
    <row r="2" spans="1:65" s="1477" customFormat="1" ht="11.25" hidden="1" customHeight="1">
      <c r="L2" s="1477" t="s">
        <v>487</v>
      </c>
      <c r="M2" s="1477" t="s">
        <v>488</v>
      </c>
      <c r="R2" s="1477" t="s">
        <v>489</v>
      </c>
      <c r="S2" s="1477" t="s">
        <v>488</v>
      </c>
      <c r="X2" s="1477" t="s">
        <v>487</v>
      </c>
      <c r="Y2" s="1477" t="s">
        <v>488</v>
      </c>
      <c r="AD2" s="1477" t="s">
        <v>487</v>
      </c>
      <c r="AE2" s="1477" t="s">
        <v>488</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77">
        <v>0</v>
      </c>
    </row>
    <row r="3" spans="1:65" s="1478" customFormat="1" ht="11.45" customHeight="1">
      <c r="AJ3" s="1498"/>
      <c r="AK3" s="241"/>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78">
        <v>11</v>
      </c>
    </row>
    <row r="4" spans="1:65" s="1715" customFormat="1" ht="34.5" customHeight="1">
      <c r="A4" s="1080"/>
      <c r="B4" s="1079"/>
      <c r="C4" s="1439"/>
      <c r="D4" s="3966" t="s">
        <v>490</v>
      </c>
      <c r="E4" s="3966"/>
      <c r="F4" s="3966"/>
      <c r="G4" s="3966"/>
      <c r="H4" s="3966"/>
      <c r="I4" s="3966"/>
      <c r="J4" s="3966"/>
      <c r="K4" s="633"/>
      <c r="T4" s="1479"/>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441">
        <v>33</v>
      </c>
    </row>
    <row r="5" spans="1:65" s="1715" customFormat="1" ht="14.65" customHeight="1">
      <c r="A5" s="1556"/>
      <c r="B5" s="1555"/>
      <c r="C5" s="1439"/>
      <c r="D5" s="3987" t="str">
        <f>IF(org=0,"Не определено",org)</f>
        <v>ООО "Смоленскрегионтеплоэнерго"</v>
      </c>
      <c r="E5" s="3987"/>
      <c r="F5" s="3987"/>
      <c r="G5" s="3987"/>
      <c r="H5" s="3987"/>
      <c r="I5" s="3987"/>
      <c r="J5" s="3987"/>
      <c r="K5" s="633"/>
      <c r="T5" s="1479"/>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c r="BM5" s="1533">
        <v>14</v>
      </c>
    </row>
    <row r="6" spans="1:65" s="1715" customFormat="1" ht="14.65" customHeight="1">
      <c r="A6" s="1080"/>
      <c r="B6" s="1079"/>
      <c r="C6" s="1439"/>
      <c r="D6" s="633"/>
      <c r="E6" s="633"/>
      <c r="F6" s="633"/>
      <c r="G6" s="633"/>
      <c r="H6" s="633"/>
      <c r="I6" s="633"/>
      <c r="J6" s="633"/>
      <c r="K6" s="633"/>
      <c r="T6" s="1479"/>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c r="BM6" s="441">
        <v>14</v>
      </c>
    </row>
    <row r="7" spans="1:65" s="1240"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3889" t="s">
        <v>75</v>
      </c>
      <c r="E8" s="3889" t="s">
        <v>180</v>
      </c>
      <c r="F8" s="3968" t="s">
        <v>194</v>
      </c>
      <c r="G8" s="3969"/>
      <c r="H8" s="3968" t="s">
        <v>75</v>
      </c>
      <c r="I8" s="3969"/>
      <c r="J8" s="3889" t="s">
        <v>195</v>
      </c>
      <c r="K8" s="1480"/>
      <c r="L8" s="3967" t="s">
        <v>491</v>
      </c>
      <c r="M8" s="3967"/>
      <c r="N8" s="3967"/>
      <c r="O8" s="3967"/>
      <c r="P8" s="3967"/>
      <c r="Q8" s="1481"/>
      <c r="R8" s="3870" t="s">
        <v>492</v>
      </c>
      <c r="S8" s="3875"/>
      <c r="T8" s="3875"/>
      <c r="U8" s="3875"/>
      <c r="V8" s="3875"/>
      <c r="W8" s="1481"/>
      <c r="X8" s="3889" t="s">
        <v>493</v>
      </c>
      <c r="Y8" s="3889"/>
      <c r="Z8" s="3889"/>
      <c r="AA8" s="3889"/>
      <c r="AB8" s="3889"/>
      <c r="AC8" s="1482"/>
      <c r="AD8" s="3889" t="s">
        <v>494</v>
      </c>
      <c r="AE8" s="3889"/>
      <c r="AF8" s="3889"/>
      <c r="AG8" s="3889"/>
      <c r="AH8" s="3870"/>
      <c r="AI8" s="3889" t="s">
        <v>495</v>
      </c>
      <c r="AJ8" s="1498"/>
      <c r="BM8" s="228">
        <v>32</v>
      </c>
    </row>
    <row r="9" spans="1:65" ht="23.25" customHeight="1">
      <c r="D9" s="3889"/>
      <c r="E9" s="3889"/>
      <c r="F9" s="3967" t="s">
        <v>76</v>
      </c>
      <c r="G9" s="3967" t="s">
        <v>200</v>
      </c>
      <c r="H9" s="3970"/>
      <c r="I9" s="3971"/>
      <c r="J9" s="3870"/>
      <c r="K9" s="1483"/>
      <c r="L9" s="3889" t="s">
        <v>496</v>
      </c>
      <c r="M9" s="3870"/>
      <c r="N9" s="3968" t="s">
        <v>75</v>
      </c>
      <c r="O9" s="3969"/>
      <c r="P9" s="3889" t="s">
        <v>201</v>
      </c>
      <c r="Q9" s="1480"/>
      <c r="R9" s="3889" t="s">
        <v>496</v>
      </c>
      <c r="S9" s="3870"/>
      <c r="T9" s="3968" t="s">
        <v>75</v>
      </c>
      <c r="U9" s="3969"/>
      <c r="V9" s="3889" t="s">
        <v>201</v>
      </c>
      <c r="W9" s="1480"/>
      <c r="X9" s="3889" t="s">
        <v>496</v>
      </c>
      <c r="Y9" s="3870"/>
      <c r="Z9" s="3968" t="s">
        <v>75</v>
      </c>
      <c r="AA9" s="3969"/>
      <c r="AB9" s="3889" t="s">
        <v>497</v>
      </c>
      <c r="AC9" s="1480"/>
      <c r="AD9" s="3889" t="s">
        <v>496</v>
      </c>
      <c r="AE9" s="3870"/>
      <c r="AF9" s="3968" t="s">
        <v>75</v>
      </c>
      <c r="AG9" s="3969"/>
      <c r="AH9" s="3870" t="s">
        <v>497</v>
      </c>
      <c r="AI9" s="3889"/>
      <c r="AJ9" s="1498"/>
      <c r="BM9" s="228">
        <v>22</v>
      </c>
    </row>
    <row r="10" spans="1:65" ht="24" customHeight="1">
      <c r="D10" s="3967"/>
      <c r="E10" s="3967"/>
      <c r="F10" s="3972"/>
      <c r="G10" s="3972"/>
      <c r="H10" s="3973"/>
      <c r="I10" s="3974"/>
      <c r="J10" s="3968"/>
      <c r="K10" s="1483"/>
      <c r="L10" s="1502" t="s">
        <v>498</v>
      </c>
      <c r="M10" s="1497" t="s">
        <v>499</v>
      </c>
      <c r="N10" s="3970"/>
      <c r="O10" s="3971"/>
      <c r="P10" s="3967"/>
      <c r="Q10" s="1480"/>
      <c r="R10" s="1502" t="s">
        <v>498</v>
      </c>
      <c r="S10" s="1497" t="s">
        <v>499</v>
      </c>
      <c r="T10" s="3970"/>
      <c r="U10" s="3971"/>
      <c r="V10" s="3967"/>
      <c r="W10" s="1480"/>
      <c r="X10" s="1502" t="s">
        <v>498</v>
      </c>
      <c r="Y10" s="1497" t="s">
        <v>499</v>
      </c>
      <c r="Z10" s="3970"/>
      <c r="AA10" s="3971"/>
      <c r="AB10" s="3967"/>
      <c r="AC10" s="1480"/>
      <c r="AD10" s="1502" t="s">
        <v>498</v>
      </c>
      <c r="AE10" s="1497" t="s">
        <v>499</v>
      </c>
      <c r="AF10" s="3970"/>
      <c r="AG10" s="3971"/>
      <c r="AH10" s="3968"/>
      <c r="AI10" s="3967"/>
      <c r="AJ10" s="1498"/>
      <c r="AK10" s="189" t="s">
        <v>500</v>
      </c>
      <c r="AL10" s="189" t="s">
        <v>202</v>
      </c>
      <c r="BM10" s="228">
        <v>23</v>
      </c>
    </row>
    <row r="11" spans="1:65" ht="15" customHeight="1">
      <c r="D11" s="3975" t="s">
        <v>184</v>
      </c>
      <c r="E11" s="3977" t="s">
        <v>501</v>
      </c>
      <c r="F11" s="3977" t="s">
        <v>502</v>
      </c>
      <c r="G11" s="3952" t="s">
        <v>6</v>
      </c>
      <c r="H11" s="1523"/>
      <c r="I11" s="3980"/>
      <c r="J11" s="3917"/>
      <c r="K11" s="1438"/>
      <c r="L11" s="3909"/>
      <c r="M11" s="3909"/>
      <c r="N11" s="1508"/>
      <c r="O11" s="3909"/>
      <c r="P11" s="3917"/>
      <c r="Q11" s="1509"/>
      <c r="R11" s="3909"/>
      <c r="S11" s="3909"/>
      <c r="T11" s="1510"/>
      <c r="U11" s="3909"/>
      <c r="V11" s="3917"/>
      <c r="W11" s="1511"/>
      <c r="X11" s="3909"/>
      <c r="Y11" s="3909"/>
      <c r="Z11" s="1508"/>
      <c r="AA11" s="3909"/>
      <c r="AB11" s="3917"/>
      <c r="AC11" s="1512"/>
      <c r="AD11" s="3909"/>
      <c r="AE11" s="3909"/>
      <c r="AF11" s="1437"/>
      <c r="AG11" s="1437"/>
      <c r="AH11" s="1513"/>
      <c r="AI11" s="1220"/>
      <c r="AJ11" s="1498"/>
      <c r="BM11" s="228">
        <v>14</v>
      </c>
    </row>
    <row r="12" spans="1:65" ht="14.65" customHeight="1">
      <c r="D12" s="3975"/>
      <c r="E12" s="3977"/>
      <c r="F12" s="3977"/>
      <c r="G12" s="3953"/>
      <c r="H12" s="1524"/>
      <c r="I12" s="3981"/>
      <c r="J12" s="3918"/>
      <c r="K12" s="1534"/>
      <c r="L12" s="3910"/>
      <c r="M12" s="3910"/>
      <c r="N12" s="1514"/>
      <c r="O12" s="3910"/>
      <c r="P12" s="3918"/>
      <c r="Q12" s="1515"/>
      <c r="R12" s="3910"/>
      <c r="S12" s="3910"/>
      <c r="T12" s="1516"/>
      <c r="U12" s="3910"/>
      <c r="V12" s="3918"/>
      <c r="W12" s="1517"/>
      <c r="X12" s="3910"/>
      <c r="Y12" s="3910"/>
      <c r="Z12" s="1514"/>
      <c r="AA12" s="3910"/>
      <c r="AB12" s="3918"/>
      <c r="AC12" s="1518"/>
      <c r="AD12" s="3910"/>
      <c r="AE12" s="3910"/>
      <c r="AF12" s="1519"/>
      <c r="AG12" s="1519"/>
      <c r="AH12" s="3984"/>
      <c r="AI12" s="3985"/>
      <c r="AJ12" s="1498"/>
      <c r="BM12" s="228">
        <v>14</v>
      </c>
    </row>
    <row r="13" spans="1:65" ht="14.65" customHeight="1">
      <c r="D13" s="3975"/>
      <c r="E13" s="3977"/>
      <c r="F13" s="3977"/>
      <c r="G13" s="3953"/>
      <c r="H13" s="1524"/>
      <c r="I13" s="3981"/>
      <c r="J13" s="3918"/>
      <c r="K13" s="1534"/>
      <c r="L13" s="3910"/>
      <c r="M13" s="3910"/>
      <c r="N13" s="1514"/>
      <c r="O13" s="3910"/>
      <c r="P13" s="3918"/>
      <c r="Q13" s="1515"/>
      <c r="R13" s="3910"/>
      <c r="S13" s="3910"/>
      <c r="T13" s="1516"/>
      <c r="U13" s="3910"/>
      <c r="V13" s="3918"/>
      <c r="W13" s="1517"/>
      <c r="X13" s="3910"/>
      <c r="Y13" s="3910"/>
      <c r="Z13" s="1436"/>
      <c r="AA13" s="1519"/>
      <c r="AB13" s="3984"/>
      <c r="AC13" s="3984"/>
      <c r="AD13" s="3984"/>
      <c r="AE13" s="3984"/>
      <c r="AF13" s="3984"/>
      <c r="AG13" s="3984"/>
      <c r="AH13" s="3984"/>
      <c r="AI13" s="3985"/>
      <c r="AJ13" s="1498"/>
      <c r="BM13" s="228">
        <v>14</v>
      </c>
    </row>
    <row r="14" spans="1:65" ht="14.65" customHeight="1">
      <c r="D14" s="3975"/>
      <c r="E14" s="3977"/>
      <c r="F14" s="3977"/>
      <c r="G14" s="3953"/>
      <c r="H14" s="1524"/>
      <c r="I14" s="3981"/>
      <c r="J14" s="3918"/>
      <c r="K14" s="1534"/>
      <c r="L14" s="3910"/>
      <c r="M14" s="3910"/>
      <c r="N14" s="1514"/>
      <c r="O14" s="3910"/>
      <c r="P14" s="3918"/>
      <c r="Q14" s="1515"/>
      <c r="R14" s="3910"/>
      <c r="S14" s="3910"/>
      <c r="T14" s="1520"/>
      <c r="U14" s="1521"/>
      <c r="V14" s="3984"/>
      <c r="W14" s="3984"/>
      <c r="X14" s="3984"/>
      <c r="Y14" s="3984"/>
      <c r="Z14" s="3984"/>
      <c r="AA14" s="3984"/>
      <c r="AB14" s="3984"/>
      <c r="AC14" s="3984"/>
      <c r="AD14" s="3984"/>
      <c r="AE14" s="3984"/>
      <c r="AF14" s="3984"/>
      <c r="AG14" s="3984"/>
      <c r="AH14" s="3984"/>
      <c r="AI14" s="3985"/>
      <c r="AJ14" s="1498"/>
      <c r="BM14" s="228">
        <v>14</v>
      </c>
    </row>
    <row r="15" spans="1:65" ht="11.45" customHeight="1">
      <c r="D15" s="3975"/>
      <c r="E15" s="3977"/>
      <c r="F15" s="3977"/>
      <c r="G15" s="3953"/>
      <c r="H15" s="1525"/>
      <c r="I15" s="3981"/>
      <c r="J15" s="3918"/>
      <c r="K15" s="1534"/>
      <c r="L15" s="3910"/>
      <c r="M15" s="3910"/>
      <c r="N15" s="1519"/>
      <c r="O15" s="1519"/>
      <c r="P15" s="3984"/>
      <c r="Q15" s="3984"/>
      <c r="R15" s="3984"/>
      <c r="S15" s="3984"/>
      <c r="T15" s="3984"/>
      <c r="U15" s="3984"/>
      <c r="V15" s="3984"/>
      <c r="W15" s="3984"/>
      <c r="X15" s="3984"/>
      <c r="Y15" s="3984"/>
      <c r="Z15" s="3984"/>
      <c r="AA15" s="3984"/>
      <c r="AB15" s="3984"/>
      <c r="AC15" s="3984"/>
      <c r="AD15" s="3984"/>
      <c r="AE15" s="3984"/>
      <c r="AF15" s="3984"/>
      <c r="AG15" s="3984"/>
      <c r="AH15" s="3984"/>
      <c r="AI15" s="3985"/>
      <c r="AJ15" s="1498"/>
      <c r="BM15" s="228">
        <v>11</v>
      </c>
    </row>
    <row r="16" spans="1:65" s="1478" customFormat="1" ht="11.45" customHeight="1">
      <c r="D16" s="3976"/>
      <c r="E16" s="3978"/>
      <c r="F16" s="3979"/>
      <c r="G16" s="3904"/>
      <c r="H16" s="1522"/>
      <c r="I16" s="1526"/>
      <c r="J16" s="3982"/>
      <c r="K16" s="3982"/>
      <c r="L16" s="3982"/>
      <c r="M16" s="3982"/>
      <c r="N16" s="3982"/>
      <c r="O16" s="3982"/>
      <c r="P16" s="3982"/>
      <c r="Q16" s="3982"/>
      <c r="R16" s="3982"/>
      <c r="S16" s="3982"/>
      <c r="T16" s="3982"/>
      <c r="U16" s="3982"/>
      <c r="V16" s="3982"/>
      <c r="W16" s="3982"/>
      <c r="X16" s="3982"/>
      <c r="Y16" s="3982"/>
      <c r="Z16" s="3982"/>
      <c r="AA16" s="3982"/>
      <c r="AB16" s="3982"/>
      <c r="AC16" s="3982"/>
      <c r="AD16" s="3982"/>
      <c r="AE16" s="3982"/>
      <c r="AF16" s="3982"/>
      <c r="AG16" s="3982"/>
      <c r="AH16" s="3982"/>
      <c r="AI16" s="3983"/>
      <c r="AJ16" s="1498"/>
      <c r="AK16" s="241"/>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78">
        <v>11</v>
      </c>
    </row>
    <row r="17" spans="4:65" ht="15" customHeight="1">
      <c r="D17" s="3975" t="s">
        <v>89</v>
      </c>
      <c r="E17" s="3977" t="s">
        <v>501</v>
      </c>
      <c r="F17" s="3977" t="s">
        <v>503</v>
      </c>
      <c r="G17" s="3952" t="s">
        <v>6</v>
      </c>
      <c r="H17" s="1523"/>
      <c r="I17" s="3980"/>
      <c r="J17" s="3917"/>
      <c r="K17" s="1438"/>
      <c r="L17" s="3909"/>
      <c r="M17" s="3909"/>
      <c r="N17" s="1508"/>
      <c r="O17" s="3909"/>
      <c r="P17" s="3917"/>
      <c r="Q17" s="1509"/>
      <c r="R17" s="3909"/>
      <c r="S17" s="3909"/>
      <c r="T17" s="1510"/>
      <c r="U17" s="3909"/>
      <c r="V17" s="3917"/>
      <c r="W17" s="1511"/>
      <c r="X17" s="3909"/>
      <c r="Y17" s="3909"/>
      <c r="Z17" s="1508"/>
      <c r="AA17" s="3909"/>
      <c r="AB17" s="3917"/>
      <c r="AC17" s="1512"/>
      <c r="AD17" s="3909"/>
      <c r="AE17" s="3909"/>
      <c r="AF17" s="1437"/>
      <c r="AG17" s="1437"/>
      <c r="AH17" s="1513"/>
      <c r="AI17" s="1220"/>
      <c r="AJ17" s="1498"/>
      <c r="BM17" s="228">
        <v>14</v>
      </c>
    </row>
    <row r="18" spans="4:65" ht="14.65" customHeight="1">
      <c r="D18" s="3975"/>
      <c r="E18" s="3977"/>
      <c r="F18" s="3977"/>
      <c r="G18" s="3953"/>
      <c r="H18" s="1524"/>
      <c r="I18" s="3981"/>
      <c r="J18" s="3918"/>
      <c r="K18" s="1507"/>
      <c r="L18" s="3910"/>
      <c r="M18" s="3910"/>
      <c r="N18" s="1514"/>
      <c r="O18" s="3910"/>
      <c r="P18" s="3918"/>
      <c r="Q18" s="1515"/>
      <c r="R18" s="3910"/>
      <c r="S18" s="3910"/>
      <c r="T18" s="1516"/>
      <c r="U18" s="3910"/>
      <c r="V18" s="3918"/>
      <c r="W18" s="1517"/>
      <c r="X18" s="3910"/>
      <c r="Y18" s="3910"/>
      <c r="Z18" s="1514"/>
      <c r="AA18" s="3910"/>
      <c r="AB18" s="3918"/>
      <c r="AC18" s="1518"/>
      <c r="AD18" s="3910"/>
      <c r="AE18" s="3910"/>
      <c r="AF18" s="1519"/>
      <c r="AG18" s="1519"/>
      <c r="AH18" s="3984"/>
      <c r="AI18" s="3985"/>
      <c r="AJ18" s="1498"/>
      <c r="BM18" s="228">
        <v>14</v>
      </c>
    </row>
    <row r="19" spans="4:65" ht="14.65" customHeight="1">
      <c r="D19" s="3975"/>
      <c r="E19" s="3977"/>
      <c r="F19" s="3977"/>
      <c r="G19" s="3953"/>
      <c r="H19" s="1524"/>
      <c r="I19" s="3981"/>
      <c r="J19" s="3918"/>
      <c r="K19" s="1507"/>
      <c r="L19" s="3910"/>
      <c r="M19" s="3910"/>
      <c r="N19" s="1514"/>
      <c r="O19" s="3910"/>
      <c r="P19" s="3918"/>
      <c r="Q19" s="1515"/>
      <c r="R19" s="3910"/>
      <c r="S19" s="3910"/>
      <c r="T19" s="1516"/>
      <c r="U19" s="3910"/>
      <c r="V19" s="3918"/>
      <c r="W19" s="1517"/>
      <c r="X19" s="3910"/>
      <c r="Y19" s="3910"/>
      <c r="Z19" s="1436"/>
      <c r="AA19" s="1519"/>
      <c r="AB19" s="3984"/>
      <c r="AC19" s="3984"/>
      <c r="AD19" s="3984"/>
      <c r="AE19" s="3984"/>
      <c r="AF19" s="3984"/>
      <c r="AG19" s="3984"/>
      <c r="AH19" s="3984"/>
      <c r="AI19" s="3985"/>
      <c r="AJ19" s="1498"/>
      <c r="BM19" s="228">
        <v>14</v>
      </c>
    </row>
    <row r="20" spans="4:65" ht="14.65" customHeight="1">
      <c r="D20" s="3975"/>
      <c r="E20" s="3977"/>
      <c r="F20" s="3977"/>
      <c r="G20" s="3953"/>
      <c r="H20" s="1524"/>
      <c r="I20" s="3981"/>
      <c r="J20" s="3918"/>
      <c r="K20" s="1507"/>
      <c r="L20" s="3910"/>
      <c r="M20" s="3910"/>
      <c r="N20" s="1514"/>
      <c r="O20" s="3910"/>
      <c r="P20" s="3918"/>
      <c r="Q20" s="1515"/>
      <c r="R20" s="3910"/>
      <c r="S20" s="3910"/>
      <c r="T20" s="1520"/>
      <c r="U20" s="1521"/>
      <c r="V20" s="3984"/>
      <c r="W20" s="3984"/>
      <c r="X20" s="3984"/>
      <c r="Y20" s="3984"/>
      <c r="Z20" s="3984"/>
      <c r="AA20" s="3984"/>
      <c r="AB20" s="3984"/>
      <c r="AC20" s="3984"/>
      <c r="AD20" s="3984"/>
      <c r="AE20" s="3984"/>
      <c r="AF20" s="3984"/>
      <c r="AG20" s="3984"/>
      <c r="AH20" s="3984"/>
      <c r="AI20" s="3985"/>
      <c r="AJ20" s="1498"/>
      <c r="BM20" s="228">
        <v>14</v>
      </c>
    </row>
    <row r="21" spans="4:65" ht="11.45" customHeight="1">
      <c r="D21" s="3975"/>
      <c r="E21" s="3977"/>
      <c r="F21" s="3977"/>
      <c r="G21" s="3953"/>
      <c r="H21" s="1525"/>
      <c r="I21" s="3981"/>
      <c r="J21" s="3918"/>
      <c r="K21" s="1507"/>
      <c r="L21" s="3910"/>
      <c r="M21" s="3910"/>
      <c r="N21" s="1519"/>
      <c r="O21" s="1519"/>
      <c r="P21" s="3984"/>
      <c r="Q21" s="3984"/>
      <c r="R21" s="3984"/>
      <c r="S21" s="3984"/>
      <c r="T21" s="3984"/>
      <c r="U21" s="3984"/>
      <c r="V21" s="3984"/>
      <c r="W21" s="3984"/>
      <c r="X21" s="3984"/>
      <c r="Y21" s="3984"/>
      <c r="Z21" s="3984"/>
      <c r="AA21" s="3984"/>
      <c r="AB21" s="3984"/>
      <c r="AC21" s="3984"/>
      <c r="AD21" s="3984"/>
      <c r="AE21" s="3984"/>
      <c r="AF21" s="3984"/>
      <c r="AG21" s="3984"/>
      <c r="AH21" s="3984"/>
      <c r="AI21" s="3985"/>
      <c r="AJ21" s="1498"/>
      <c r="BM21" s="228">
        <v>11</v>
      </c>
    </row>
    <row r="22" spans="4:65" s="1478" customFormat="1" ht="11.45" customHeight="1">
      <c r="D22" s="3976"/>
      <c r="E22" s="3978"/>
      <c r="F22" s="3979"/>
      <c r="G22" s="3904"/>
      <c r="H22" s="1522"/>
      <c r="I22" s="1526"/>
      <c r="J22" s="3982"/>
      <c r="K22" s="3982"/>
      <c r="L22" s="3982"/>
      <c r="M22" s="3982"/>
      <c r="N22" s="3982"/>
      <c r="O22" s="3982"/>
      <c r="P22" s="3982"/>
      <c r="Q22" s="3982"/>
      <c r="R22" s="3982"/>
      <c r="S22" s="3982"/>
      <c r="T22" s="3982"/>
      <c r="U22" s="3982"/>
      <c r="V22" s="3982"/>
      <c r="W22" s="3982"/>
      <c r="X22" s="3982"/>
      <c r="Y22" s="3982"/>
      <c r="Z22" s="3982"/>
      <c r="AA22" s="3982"/>
      <c r="AB22" s="3982"/>
      <c r="AC22" s="3982"/>
      <c r="AD22" s="3982"/>
      <c r="AE22" s="3982"/>
      <c r="AF22" s="3982"/>
      <c r="AG22" s="3982"/>
      <c r="AH22" s="3982"/>
      <c r="AI22" s="3983"/>
      <c r="AJ22" s="1498"/>
      <c r="AK22" s="241"/>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78">
        <v>11</v>
      </c>
    </row>
    <row r="23" spans="4:65" ht="15" customHeight="1">
      <c r="D23" s="3975" t="s">
        <v>77</v>
      </c>
      <c r="E23" s="3977" t="s">
        <v>501</v>
      </c>
      <c r="F23" s="3977" t="s">
        <v>504</v>
      </c>
      <c r="G23" s="3952" t="s">
        <v>6</v>
      </c>
      <c r="H23" s="1523"/>
      <c r="I23" s="3980"/>
      <c r="J23" s="3917"/>
      <c r="K23" s="1438"/>
      <c r="L23" s="3909"/>
      <c r="M23" s="3909"/>
      <c r="N23" s="1508"/>
      <c r="O23" s="3909"/>
      <c r="P23" s="3917"/>
      <c r="Q23" s="1509"/>
      <c r="R23" s="3909"/>
      <c r="S23" s="3909"/>
      <c r="T23" s="1510"/>
      <c r="U23" s="3909"/>
      <c r="V23" s="3917"/>
      <c r="W23" s="1511"/>
      <c r="X23" s="3909"/>
      <c r="Y23" s="3909"/>
      <c r="Z23" s="1508"/>
      <c r="AA23" s="3909"/>
      <c r="AB23" s="3917"/>
      <c r="AC23" s="1512"/>
      <c r="AD23" s="3909"/>
      <c r="AE23" s="3909"/>
      <c r="AF23" s="1437"/>
      <c r="AG23" s="1437"/>
      <c r="AH23" s="1513"/>
      <c r="AI23" s="1220"/>
      <c r="AJ23" s="1498"/>
      <c r="AK23" s="241" t="s">
        <v>85</v>
      </c>
      <c r="BM23" s="228">
        <v>14</v>
      </c>
    </row>
    <row r="24" spans="4:65" ht="14.65" customHeight="1">
      <c r="D24" s="3975"/>
      <c r="E24" s="3977"/>
      <c r="F24" s="3977"/>
      <c r="G24" s="3953"/>
      <c r="H24" s="1524"/>
      <c r="I24" s="3981"/>
      <c r="J24" s="3918"/>
      <c r="K24" s="1534"/>
      <c r="L24" s="3910"/>
      <c r="M24" s="3910"/>
      <c r="N24" s="1514"/>
      <c r="O24" s="3910"/>
      <c r="P24" s="3918"/>
      <c r="Q24" s="1515"/>
      <c r="R24" s="3910"/>
      <c r="S24" s="3910"/>
      <c r="T24" s="1516"/>
      <c r="U24" s="3910"/>
      <c r="V24" s="3918"/>
      <c r="W24" s="1517"/>
      <c r="X24" s="3910"/>
      <c r="Y24" s="3910"/>
      <c r="Z24" s="1514"/>
      <c r="AA24" s="3910"/>
      <c r="AB24" s="3918"/>
      <c r="AC24" s="1518"/>
      <c r="AD24" s="3910"/>
      <c r="AE24" s="3910"/>
      <c r="AF24" s="1519"/>
      <c r="AG24" s="1519"/>
      <c r="AH24" s="3984"/>
      <c r="AI24" s="3985"/>
      <c r="AJ24" s="1498"/>
      <c r="BM24" s="228">
        <v>14</v>
      </c>
    </row>
    <row r="25" spans="4:65" ht="14.65" customHeight="1">
      <c r="D25" s="3975"/>
      <c r="E25" s="3977"/>
      <c r="F25" s="3977"/>
      <c r="G25" s="3953"/>
      <c r="H25" s="1524"/>
      <c r="I25" s="3981"/>
      <c r="J25" s="3918"/>
      <c r="K25" s="1534"/>
      <c r="L25" s="3910"/>
      <c r="M25" s="3910"/>
      <c r="N25" s="1514"/>
      <c r="O25" s="3910"/>
      <c r="P25" s="3918"/>
      <c r="Q25" s="1515"/>
      <c r="R25" s="3910"/>
      <c r="S25" s="3910"/>
      <c r="T25" s="1516"/>
      <c r="U25" s="3910"/>
      <c r="V25" s="3918"/>
      <c r="W25" s="1517"/>
      <c r="X25" s="3910"/>
      <c r="Y25" s="3910"/>
      <c r="Z25" s="1436"/>
      <c r="AA25" s="1519"/>
      <c r="AB25" s="3984"/>
      <c r="AC25" s="3984"/>
      <c r="AD25" s="3984"/>
      <c r="AE25" s="3984"/>
      <c r="AF25" s="3984"/>
      <c r="AG25" s="3984"/>
      <c r="AH25" s="3984"/>
      <c r="AI25" s="3985"/>
      <c r="AJ25" s="1498"/>
      <c r="BM25" s="228">
        <v>14</v>
      </c>
    </row>
    <row r="26" spans="4:65" ht="14.65" customHeight="1">
      <c r="D26" s="3975"/>
      <c r="E26" s="3977"/>
      <c r="F26" s="3977"/>
      <c r="G26" s="3953"/>
      <c r="H26" s="1524"/>
      <c r="I26" s="3981"/>
      <c r="J26" s="3918"/>
      <c r="K26" s="1534"/>
      <c r="L26" s="3910"/>
      <c r="M26" s="3910"/>
      <c r="N26" s="1514"/>
      <c r="O26" s="3910"/>
      <c r="P26" s="3918"/>
      <c r="Q26" s="1515"/>
      <c r="R26" s="3910"/>
      <c r="S26" s="3910"/>
      <c r="T26" s="1520"/>
      <c r="U26" s="1521"/>
      <c r="V26" s="3984"/>
      <c r="W26" s="3984"/>
      <c r="X26" s="3984"/>
      <c r="Y26" s="3984"/>
      <c r="Z26" s="3984"/>
      <c r="AA26" s="3984"/>
      <c r="AB26" s="3984"/>
      <c r="AC26" s="3984"/>
      <c r="AD26" s="3984"/>
      <c r="AE26" s="3984"/>
      <c r="AF26" s="3984"/>
      <c r="AG26" s="3984"/>
      <c r="AH26" s="3984"/>
      <c r="AI26" s="3985"/>
      <c r="AJ26" s="1498"/>
      <c r="BM26" s="228">
        <v>14</v>
      </c>
    </row>
    <row r="27" spans="4:65" ht="11.45" customHeight="1">
      <c r="D27" s="3975"/>
      <c r="E27" s="3977"/>
      <c r="F27" s="3977"/>
      <c r="G27" s="3953"/>
      <c r="H27" s="1525"/>
      <c r="I27" s="3981"/>
      <c r="J27" s="3918"/>
      <c r="K27" s="1534"/>
      <c r="L27" s="3910"/>
      <c r="M27" s="3910"/>
      <c r="N27" s="1519"/>
      <c r="O27" s="1519"/>
      <c r="P27" s="3984"/>
      <c r="Q27" s="3984"/>
      <c r="R27" s="3984"/>
      <c r="S27" s="3984"/>
      <c r="T27" s="3984"/>
      <c r="U27" s="3984"/>
      <c r="V27" s="3984"/>
      <c r="W27" s="3984"/>
      <c r="X27" s="3984"/>
      <c r="Y27" s="3984"/>
      <c r="Z27" s="3984"/>
      <c r="AA27" s="3984"/>
      <c r="AB27" s="3984"/>
      <c r="AC27" s="3984"/>
      <c r="AD27" s="3984"/>
      <c r="AE27" s="3984"/>
      <c r="AF27" s="3984"/>
      <c r="AG27" s="3984"/>
      <c r="AH27" s="3984"/>
      <c r="AI27" s="3985"/>
      <c r="AJ27" s="1498"/>
      <c r="BM27" s="228">
        <v>11</v>
      </c>
    </row>
    <row r="28" spans="4:65" s="1478" customFormat="1" ht="11.45" customHeight="1">
      <c r="D28" s="3976"/>
      <c r="E28" s="3978"/>
      <c r="F28" s="3979"/>
      <c r="G28" s="3904"/>
      <c r="H28" s="1522"/>
      <c r="I28" s="1526"/>
      <c r="J28" s="3982"/>
      <c r="K28" s="3982"/>
      <c r="L28" s="3982"/>
      <c r="M28" s="3982"/>
      <c r="N28" s="3982"/>
      <c r="O28" s="3982"/>
      <c r="P28" s="3982"/>
      <c r="Q28" s="3982"/>
      <c r="R28" s="3982"/>
      <c r="S28" s="3982"/>
      <c r="T28" s="3982"/>
      <c r="U28" s="3982"/>
      <c r="V28" s="3982"/>
      <c r="W28" s="3982"/>
      <c r="X28" s="3982"/>
      <c r="Y28" s="3982"/>
      <c r="Z28" s="3982"/>
      <c r="AA28" s="3982"/>
      <c r="AB28" s="3982"/>
      <c r="AC28" s="3982"/>
      <c r="AD28" s="3982"/>
      <c r="AE28" s="3982"/>
      <c r="AF28" s="3982"/>
      <c r="AG28" s="3982"/>
      <c r="AH28" s="3982"/>
      <c r="AI28" s="3983"/>
      <c r="AJ28" s="1498"/>
      <c r="AK28" s="241"/>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78">
        <v>11</v>
      </c>
    </row>
    <row r="29" spans="4:65" ht="15" customHeight="1">
      <c r="D29" s="3975" t="s">
        <v>78</v>
      </c>
      <c r="E29" s="3977" t="s">
        <v>501</v>
      </c>
      <c r="F29" s="3977" t="s">
        <v>505</v>
      </c>
      <c r="G29" s="3952" t="s">
        <v>6</v>
      </c>
      <c r="H29" s="1523"/>
      <c r="I29" s="3980"/>
      <c r="J29" s="3917"/>
      <c r="K29" s="1438"/>
      <c r="L29" s="3909"/>
      <c r="M29" s="3909"/>
      <c r="N29" s="1508"/>
      <c r="O29" s="3909"/>
      <c r="P29" s="3917"/>
      <c r="Q29" s="1509"/>
      <c r="R29" s="3909"/>
      <c r="S29" s="3909"/>
      <c r="T29" s="1510"/>
      <c r="U29" s="3909"/>
      <c r="V29" s="3917"/>
      <c r="W29" s="1511"/>
      <c r="X29" s="3909"/>
      <c r="Y29" s="3909"/>
      <c r="Z29" s="1508"/>
      <c r="AA29" s="3909"/>
      <c r="AB29" s="3917"/>
      <c r="AC29" s="1512"/>
      <c r="AD29" s="3909"/>
      <c r="AE29" s="3909"/>
      <c r="AF29" s="1437"/>
      <c r="AG29" s="1437"/>
      <c r="AH29" s="1513"/>
      <c r="AI29" s="1220"/>
      <c r="AJ29" s="1498"/>
      <c r="BM29" s="228">
        <v>14</v>
      </c>
    </row>
    <row r="30" spans="4:65" ht="14.65" customHeight="1">
      <c r="D30" s="3975"/>
      <c r="E30" s="3977"/>
      <c r="F30" s="3977"/>
      <c r="G30" s="3953"/>
      <c r="H30" s="1524"/>
      <c r="I30" s="3981"/>
      <c r="J30" s="3918"/>
      <c r="K30" s="1507"/>
      <c r="L30" s="3910"/>
      <c r="M30" s="3910"/>
      <c r="N30" s="1514"/>
      <c r="O30" s="3910"/>
      <c r="P30" s="3918"/>
      <c r="Q30" s="1515"/>
      <c r="R30" s="3910"/>
      <c r="S30" s="3910"/>
      <c r="T30" s="1516"/>
      <c r="U30" s="3910"/>
      <c r="V30" s="3918"/>
      <c r="W30" s="1517"/>
      <c r="X30" s="3910"/>
      <c r="Y30" s="3910"/>
      <c r="Z30" s="1514"/>
      <c r="AA30" s="3910"/>
      <c r="AB30" s="3918"/>
      <c r="AC30" s="1518"/>
      <c r="AD30" s="3910"/>
      <c r="AE30" s="3910"/>
      <c r="AF30" s="1519"/>
      <c r="AG30" s="1519"/>
      <c r="AH30" s="3984"/>
      <c r="AI30" s="3985"/>
      <c r="AJ30" s="1498"/>
      <c r="BM30" s="228">
        <v>14</v>
      </c>
    </row>
    <row r="31" spans="4:65" ht="14.65" customHeight="1">
      <c r="D31" s="3975"/>
      <c r="E31" s="3977"/>
      <c r="F31" s="3977"/>
      <c r="G31" s="3953"/>
      <c r="H31" s="1524"/>
      <c r="I31" s="3981"/>
      <c r="J31" s="3918"/>
      <c r="K31" s="1507"/>
      <c r="L31" s="3910"/>
      <c r="M31" s="3910"/>
      <c r="N31" s="1514"/>
      <c r="O31" s="3910"/>
      <c r="P31" s="3918"/>
      <c r="Q31" s="1515"/>
      <c r="R31" s="3910"/>
      <c r="S31" s="3910"/>
      <c r="T31" s="1516"/>
      <c r="U31" s="3910"/>
      <c r="V31" s="3918"/>
      <c r="W31" s="1517"/>
      <c r="X31" s="3910"/>
      <c r="Y31" s="3910"/>
      <c r="Z31" s="1436"/>
      <c r="AA31" s="1519"/>
      <c r="AB31" s="3984"/>
      <c r="AC31" s="3984"/>
      <c r="AD31" s="3984"/>
      <c r="AE31" s="3984"/>
      <c r="AF31" s="3984"/>
      <c r="AG31" s="3984"/>
      <c r="AH31" s="3984"/>
      <c r="AI31" s="3985"/>
      <c r="AJ31" s="1498"/>
      <c r="BM31" s="228">
        <v>14</v>
      </c>
    </row>
    <row r="32" spans="4:65" ht="14.65" customHeight="1">
      <c r="D32" s="3975"/>
      <c r="E32" s="3977"/>
      <c r="F32" s="3977"/>
      <c r="G32" s="3953"/>
      <c r="H32" s="1524"/>
      <c r="I32" s="3981"/>
      <c r="J32" s="3918"/>
      <c r="K32" s="1507"/>
      <c r="L32" s="3910"/>
      <c r="M32" s="3910"/>
      <c r="N32" s="1514"/>
      <c r="O32" s="3910"/>
      <c r="P32" s="3918"/>
      <c r="Q32" s="1515"/>
      <c r="R32" s="3910"/>
      <c r="S32" s="3910"/>
      <c r="T32" s="1520"/>
      <c r="U32" s="1521"/>
      <c r="V32" s="3984"/>
      <c r="W32" s="3984"/>
      <c r="X32" s="3984"/>
      <c r="Y32" s="3984"/>
      <c r="Z32" s="3984"/>
      <c r="AA32" s="3984"/>
      <c r="AB32" s="3984"/>
      <c r="AC32" s="3984"/>
      <c r="AD32" s="3984"/>
      <c r="AE32" s="3984"/>
      <c r="AF32" s="3984"/>
      <c r="AG32" s="3984"/>
      <c r="AH32" s="3984"/>
      <c r="AI32" s="3985"/>
      <c r="AJ32" s="1498"/>
      <c r="BM32" s="228">
        <v>14</v>
      </c>
    </row>
    <row r="33" spans="4:65" ht="11.45" customHeight="1">
      <c r="D33" s="3975"/>
      <c r="E33" s="3977"/>
      <c r="F33" s="3977"/>
      <c r="G33" s="3953"/>
      <c r="H33" s="1525"/>
      <c r="I33" s="3981"/>
      <c r="J33" s="3918"/>
      <c r="K33" s="1507"/>
      <c r="L33" s="3910"/>
      <c r="M33" s="3910"/>
      <c r="N33" s="1519"/>
      <c r="O33" s="1519"/>
      <c r="P33" s="3984"/>
      <c r="Q33" s="3984"/>
      <c r="R33" s="3984"/>
      <c r="S33" s="3984"/>
      <c r="T33" s="3984"/>
      <c r="U33" s="3984"/>
      <c r="V33" s="3984"/>
      <c r="W33" s="3984"/>
      <c r="X33" s="3984"/>
      <c r="Y33" s="3984"/>
      <c r="Z33" s="3984"/>
      <c r="AA33" s="3984"/>
      <c r="AB33" s="3984"/>
      <c r="AC33" s="3984"/>
      <c r="AD33" s="3984"/>
      <c r="AE33" s="3984"/>
      <c r="AF33" s="3984"/>
      <c r="AG33" s="3984"/>
      <c r="AH33" s="3984"/>
      <c r="AI33" s="3985"/>
      <c r="AJ33" s="1498"/>
      <c r="BM33" s="228">
        <v>11</v>
      </c>
    </row>
    <row r="34" spans="4:65" s="1478" customFormat="1" ht="11.45" customHeight="1">
      <c r="D34" s="3976"/>
      <c r="E34" s="3978"/>
      <c r="F34" s="3979"/>
      <c r="G34" s="3904"/>
      <c r="H34" s="1522"/>
      <c r="I34" s="1526"/>
      <c r="J34" s="3982"/>
      <c r="K34" s="3982"/>
      <c r="L34" s="3982"/>
      <c r="M34" s="3982"/>
      <c r="N34" s="3982"/>
      <c r="O34" s="3982"/>
      <c r="P34" s="3982"/>
      <c r="Q34" s="3982"/>
      <c r="R34" s="3982"/>
      <c r="S34" s="3982"/>
      <c r="T34" s="3982"/>
      <c r="U34" s="3982"/>
      <c r="V34" s="3982"/>
      <c r="W34" s="3982"/>
      <c r="X34" s="3982"/>
      <c r="Y34" s="3982"/>
      <c r="Z34" s="3982"/>
      <c r="AA34" s="3982"/>
      <c r="AB34" s="3982"/>
      <c r="AC34" s="3982"/>
      <c r="AD34" s="3982"/>
      <c r="AE34" s="3982"/>
      <c r="AF34" s="3982"/>
      <c r="AG34" s="3982"/>
      <c r="AH34" s="3982"/>
      <c r="AI34" s="3983"/>
      <c r="AJ34" s="1498"/>
      <c r="AK34" s="241"/>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78">
        <v>11</v>
      </c>
    </row>
    <row r="35" spans="4:65" ht="15" customHeight="1">
      <c r="D35" s="3975" t="s">
        <v>115</v>
      </c>
      <c r="E35" s="3977" t="s">
        <v>501</v>
      </c>
      <c r="F35" s="3977" t="s">
        <v>506</v>
      </c>
      <c r="G35" s="3952" t="s">
        <v>6</v>
      </c>
      <c r="H35" s="1523"/>
      <c r="I35" s="3980"/>
      <c r="J35" s="3917"/>
      <c r="K35" s="1438"/>
      <c r="L35" s="3909"/>
      <c r="M35" s="3909"/>
      <c r="N35" s="1508"/>
      <c r="O35" s="3909"/>
      <c r="P35" s="3917"/>
      <c r="Q35" s="1509"/>
      <c r="R35" s="3909"/>
      <c r="S35" s="3909"/>
      <c r="T35" s="1510"/>
      <c r="U35" s="3909"/>
      <c r="V35" s="3917"/>
      <c r="W35" s="1511"/>
      <c r="X35" s="3909"/>
      <c r="Y35" s="3909"/>
      <c r="Z35" s="1508"/>
      <c r="AA35" s="3909"/>
      <c r="AB35" s="3917"/>
      <c r="AC35" s="1512"/>
      <c r="AD35" s="3909"/>
      <c r="AE35" s="3909"/>
      <c r="AF35" s="1437"/>
      <c r="AG35" s="1437"/>
      <c r="AH35" s="1513"/>
      <c r="AI35" s="1220"/>
      <c r="AJ35" s="1498"/>
      <c r="BM35" s="228">
        <v>14</v>
      </c>
    </row>
    <row r="36" spans="4:65" ht="14.65" customHeight="1">
      <c r="D36" s="3975"/>
      <c r="E36" s="3977"/>
      <c r="F36" s="3977"/>
      <c r="G36" s="3953"/>
      <c r="H36" s="1524"/>
      <c r="I36" s="3981"/>
      <c r="J36" s="3918"/>
      <c r="K36" s="1507"/>
      <c r="L36" s="3910"/>
      <c r="M36" s="3910"/>
      <c r="N36" s="1514"/>
      <c r="O36" s="3910"/>
      <c r="P36" s="3918"/>
      <c r="Q36" s="1515"/>
      <c r="R36" s="3910"/>
      <c r="S36" s="3910"/>
      <c r="T36" s="1516"/>
      <c r="U36" s="3910"/>
      <c r="V36" s="3918"/>
      <c r="W36" s="1517"/>
      <c r="X36" s="3910"/>
      <c r="Y36" s="3910"/>
      <c r="Z36" s="1514"/>
      <c r="AA36" s="3910"/>
      <c r="AB36" s="3918"/>
      <c r="AC36" s="1518"/>
      <c r="AD36" s="3910"/>
      <c r="AE36" s="3910"/>
      <c r="AF36" s="1519"/>
      <c r="AG36" s="1519"/>
      <c r="AH36" s="3984"/>
      <c r="AI36" s="3985"/>
      <c r="AJ36" s="1498"/>
      <c r="BM36" s="228">
        <v>14</v>
      </c>
    </row>
    <row r="37" spans="4:65" ht="14.65" customHeight="1">
      <c r="D37" s="3975"/>
      <c r="E37" s="3977"/>
      <c r="F37" s="3977"/>
      <c r="G37" s="3953"/>
      <c r="H37" s="1524"/>
      <c r="I37" s="3981"/>
      <c r="J37" s="3918"/>
      <c r="K37" s="1507"/>
      <c r="L37" s="3910"/>
      <c r="M37" s="3910"/>
      <c r="N37" s="1514"/>
      <c r="O37" s="3910"/>
      <c r="P37" s="3918"/>
      <c r="Q37" s="1515"/>
      <c r="R37" s="3910"/>
      <c r="S37" s="3910"/>
      <c r="T37" s="1516"/>
      <c r="U37" s="3910"/>
      <c r="V37" s="3918"/>
      <c r="W37" s="1517"/>
      <c r="X37" s="3910"/>
      <c r="Y37" s="3910"/>
      <c r="Z37" s="1436"/>
      <c r="AA37" s="1519"/>
      <c r="AB37" s="3984"/>
      <c r="AC37" s="3984"/>
      <c r="AD37" s="3984"/>
      <c r="AE37" s="3984"/>
      <c r="AF37" s="3984"/>
      <c r="AG37" s="3984"/>
      <c r="AH37" s="3984"/>
      <c r="AI37" s="3985"/>
      <c r="AJ37" s="1498"/>
      <c r="BM37" s="228">
        <v>14</v>
      </c>
    </row>
    <row r="38" spans="4:65" ht="14.65" customHeight="1">
      <c r="D38" s="3975"/>
      <c r="E38" s="3977"/>
      <c r="F38" s="3977"/>
      <c r="G38" s="3953"/>
      <c r="H38" s="1524"/>
      <c r="I38" s="3981"/>
      <c r="J38" s="3918"/>
      <c r="K38" s="1507"/>
      <c r="L38" s="3910"/>
      <c r="M38" s="3910"/>
      <c r="N38" s="1514"/>
      <c r="O38" s="3910"/>
      <c r="P38" s="3918"/>
      <c r="Q38" s="1515"/>
      <c r="R38" s="3910"/>
      <c r="S38" s="3910"/>
      <c r="T38" s="1520"/>
      <c r="U38" s="1521"/>
      <c r="V38" s="3984"/>
      <c r="W38" s="3984"/>
      <c r="X38" s="3984"/>
      <c r="Y38" s="3984"/>
      <c r="Z38" s="3984"/>
      <c r="AA38" s="3984"/>
      <c r="AB38" s="3984"/>
      <c r="AC38" s="3984"/>
      <c r="AD38" s="3984"/>
      <c r="AE38" s="3984"/>
      <c r="AF38" s="3984"/>
      <c r="AG38" s="3984"/>
      <c r="AH38" s="3984"/>
      <c r="AI38" s="3985"/>
      <c r="AJ38" s="1498"/>
      <c r="BM38" s="228">
        <v>14</v>
      </c>
    </row>
    <row r="39" spans="4:65" ht="11.45" customHeight="1">
      <c r="D39" s="3975"/>
      <c r="E39" s="3977"/>
      <c r="F39" s="3977"/>
      <c r="G39" s="3953"/>
      <c r="H39" s="1525"/>
      <c r="I39" s="3981"/>
      <c r="J39" s="3918"/>
      <c r="K39" s="1507"/>
      <c r="L39" s="3910"/>
      <c r="M39" s="3910"/>
      <c r="N39" s="1519"/>
      <c r="O39" s="1519"/>
      <c r="P39" s="3984"/>
      <c r="Q39" s="3984"/>
      <c r="R39" s="3984"/>
      <c r="S39" s="3984"/>
      <c r="T39" s="3984"/>
      <c r="U39" s="3984"/>
      <c r="V39" s="3984"/>
      <c r="W39" s="3984"/>
      <c r="X39" s="3984"/>
      <c r="Y39" s="3984"/>
      <c r="Z39" s="3984"/>
      <c r="AA39" s="3984"/>
      <c r="AB39" s="3984"/>
      <c r="AC39" s="3984"/>
      <c r="AD39" s="3984"/>
      <c r="AE39" s="3984"/>
      <c r="AF39" s="3984"/>
      <c r="AG39" s="3984"/>
      <c r="AH39" s="3984"/>
      <c r="AI39" s="3985"/>
      <c r="AJ39" s="1498"/>
      <c r="BM39" s="228">
        <v>11</v>
      </c>
    </row>
    <row r="40" spans="4:65" s="1478" customFormat="1" ht="11.45" customHeight="1">
      <c r="D40" s="3975"/>
      <c r="E40" s="3977"/>
      <c r="F40" s="3986"/>
      <c r="G40" s="3904"/>
      <c r="H40" s="1522"/>
      <c r="I40" s="1526"/>
      <c r="J40" s="3982"/>
      <c r="K40" s="3982"/>
      <c r="L40" s="3982"/>
      <c r="M40" s="3982"/>
      <c r="N40" s="3982"/>
      <c r="O40" s="3982"/>
      <c r="P40" s="3982"/>
      <c r="Q40" s="3982"/>
      <c r="R40" s="3982"/>
      <c r="S40" s="3982"/>
      <c r="T40" s="3982"/>
      <c r="U40" s="3982"/>
      <c r="V40" s="3982"/>
      <c r="W40" s="3982"/>
      <c r="X40" s="3982"/>
      <c r="Y40" s="3982"/>
      <c r="Z40" s="3982"/>
      <c r="AA40" s="3982"/>
      <c r="AB40" s="3982"/>
      <c r="AC40" s="3982"/>
      <c r="AD40" s="3982"/>
      <c r="AE40" s="3982"/>
      <c r="AF40" s="3982"/>
      <c r="AG40" s="3982"/>
      <c r="AH40" s="3982"/>
      <c r="AI40" s="3983"/>
      <c r="AJ40" s="1498"/>
      <c r="AK40" s="241"/>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78">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69</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6" customWidth="1"/>
    <col min="2" max="2" width="11" style="1745" customWidth="1"/>
    <col min="3" max="3" width="9.140625" style="1745"/>
    <col min="4" max="4" width="26.5703125" style="1745" customWidth="1"/>
    <col min="5" max="5" width="36.85546875" style="1718" customWidth="1"/>
    <col min="6" max="6" width="23.5703125" style="1718" customWidth="1"/>
    <col min="7" max="7" width="31.42578125" style="1718" customWidth="1"/>
    <col min="8" max="8" width="40.85546875" style="1718" customWidth="1"/>
    <col min="9" max="9" width="14.5703125" style="1718" customWidth="1"/>
    <col min="10" max="10" width="26.85546875" style="1718" customWidth="1"/>
    <col min="11" max="11" width="50" style="1718" customWidth="1"/>
    <col min="12" max="12" width="52.42578125" style="1718" customWidth="1"/>
    <col min="13" max="13" width="10.7109375" style="1718" customWidth="1"/>
    <col min="14" max="14" width="55.140625" style="1718" customWidth="1"/>
    <col min="15" max="15" width="31.85546875" style="1718" customWidth="1"/>
    <col min="16" max="16" width="23.85546875" style="1718" customWidth="1"/>
    <col min="17" max="17" width="46.5703125" style="1718" customWidth="1"/>
    <col min="18" max="18" width="24" style="1718" customWidth="1"/>
    <col min="19" max="19" width="20.5703125" style="1718" customWidth="1"/>
    <col min="20" max="20" width="22" style="1718" customWidth="1"/>
    <col min="21" max="22" width="26.42578125" style="1718" customWidth="1"/>
    <col min="23" max="23" width="8.28515625" style="1718" hidden="1" customWidth="1"/>
    <col min="24" max="24" width="59.7109375" style="1718" customWidth="1"/>
    <col min="25" max="25" width="49.140625" style="1718" customWidth="1"/>
    <col min="26" max="26" width="11.140625" style="1718" customWidth="1"/>
    <col min="27" max="30" width="29" style="1718" customWidth="1"/>
    <col min="31" max="31" width="9.140625" style="1718"/>
    <col min="32" max="32" width="34.7109375" style="1718" customWidth="1"/>
    <col min="33" max="33" width="9.140625" style="1718"/>
    <col min="34" max="35" width="34.42578125" style="1718" customWidth="1"/>
    <col min="36" max="36" width="9.140625" style="1718"/>
    <col min="37" max="37" width="24.5703125" style="1718" customWidth="1"/>
    <col min="38" max="38" width="9.140625" style="1718"/>
    <col min="39" max="39" width="26.140625" style="1718" customWidth="1"/>
    <col min="40" max="40" width="1.7109375" style="1718" customWidth="1"/>
    <col min="41" max="41" width="9.140625" style="1718"/>
    <col min="42" max="43" width="47.85546875" style="1718" customWidth="1"/>
    <col min="44" max="44" width="1.7109375" style="1718" customWidth="1"/>
    <col min="45" max="45" width="21.42578125" style="1718" customWidth="1"/>
    <col min="46" max="46" width="1.7109375" style="1718" customWidth="1"/>
    <col min="47" max="47" width="31.28515625" style="1718" customWidth="1"/>
    <col min="48" max="48" width="1.7109375" style="1718" customWidth="1"/>
    <col min="49" max="50" width="9.140625" style="1718"/>
    <col min="51" max="51" width="3.7109375" style="1718" customWidth="1"/>
    <col min="52" max="52" width="60.85546875" style="1718" customWidth="1"/>
    <col min="53" max="53" width="49.28515625" style="1718" customWidth="1"/>
    <col min="54" max="54" width="35.140625" style="1718" customWidth="1"/>
    <col min="55" max="55" width="9.140625" style="1718"/>
    <col min="56" max="56" width="1.7109375" style="1718" customWidth="1"/>
    <col min="57" max="57" width="12.5703125" style="993" customWidth="1"/>
    <col min="58" max="58" width="14.28515625" style="993" customWidth="1"/>
    <col min="59" max="59" width="30.7109375" style="1718" customWidth="1"/>
    <col min="60" max="60" width="40.7109375" style="1735" customWidth="1"/>
    <col min="61" max="61" width="15" style="1735" customWidth="1"/>
    <col min="62" max="62" width="40.7109375" style="1735" customWidth="1"/>
    <col min="63" max="63" width="2.7109375" style="1735" customWidth="1"/>
    <col min="64" max="64" width="44.7109375" style="1735" customWidth="1"/>
    <col min="65" max="65" width="2.7109375" style="1735" customWidth="1"/>
    <col min="66" max="66" width="40.7109375" style="1735" customWidth="1"/>
    <col min="67" max="68" width="9.140625" style="1718"/>
    <col min="69" max="69" width="18.140625" style="1718" customWidth="1"/>
    <col min="70" max="70" width="57.85546875" style="1718" customWidth="1"/>
    <col min="71" max="71" width="1.7109375" style="1718" customWidth="1"/>
    <col min="72" max="72" width="22.5703125" style="1718" customWidth="1"/>
    <col min="73" max="73" width="57.85546875" style="1718" customWidth="1"/>
    <col min="74" max="74" width="1.7109375" style="1718" customWidth="1"/>
    <col min="75" max="75" width="22.5703125" style="1718" customWidth="1"/>
    <col min="76" max="76" width="57.85546875" style="1718" customWidth="1"/>
    <col min="77" max="77" width="1.7109375" style="1718" customWidth="1"/>
    <col min="78" max="78" width="22.5703125" style="1718" customWidth="1"/>
    <col min="79" max="79" width="57.85546875" style="1718" customWidth="1"/>
    <col min="80" max="81" width="9.140625" style="1718"/>
    <col min="82" max="82" width="49.5703125" style="1718" customWidth="1"/>
  </cols>
  <sheetData>
    <row r="1" spans="1:79" s="1351" customFormat="1" ht="11.25" customHeight="1">
      <c r="A1" s="994" t="s">
        <v>1381</v>
      </c>
      <c r="B1" s="994" t="s">
        <v>1382</v>
      </c>
      <c r="C1" s="994" t="s">
        <v>1383</v>
      </c>
      <c r="D1" s="994" t="s">
        <v>1384</v>
      </c>
      <c r="E1" s="994" t="s">
        <v>1385</v>
      </c>
      <c r="F1" s="994" t="s">
        <v>1386</v>
      </c>
      <c r="G1" s="994" t="s">
        <v>1387</v>
      </c>
      <c r="H1" s="994" t="s">
        <v>1388</v>
      </c>
      <c r="I1" s="994" t="s">
        <v>1389</v>
      </c>
      <c r="J1" s="994" t="s">
        <v>1390</v>
      </c>
      <c r="K1" s="994" t="s">
        <v>1391</v>
      </c>
      <c r="L1" s="994" t="s">
        <v>1392</v>
      </c>
      <c r="M1" s="994"/>
      <c r="N1" s="994" t="s">
        <v>1393</v>
      </c>
      <c r="O1" s="994" t="s">
        <v>1394</v>
      </c>
      <c r="P1" s="994" t="s">
        <v>1395</v>
      </c>
      <c r="Q1" s="994" t="s">
        <v>1396</v>
      </c>
      <c r="R1" s="994" t="s">
        <v>1397</v>
      </c>
      <c r="S1" s="994" t="s">
        <v>1398</v>
      </c>
      <c r="T1" s="994" t="s">
        <v>1399</v>
      </c>
      <c r="U1" s="994" t="s">
        <v>1400</v>
      </c>
      <c r="V1" s="994"/>
      <c r="W1" s="725" t="s">
        <v>1401</v>
      </c>
      <c r="X1" s="994" t="s">
        <v>1402</v>
      </c>
      <c r="Y1" s="994" t="s">
        <v>1403</v>
      </c>
      <c r="Z1" s="994"/>
      <c r="AA1" s="994" t="s">
        <v>1404</v>
      </c>
      <c r="AB1" s="994"/>
      <c r="AC1" s="994" t="s">
        <v>1405</v>
      </c>
      <c r="AD1" s="994"/>
      <c r="AF1" s="994" t="s">
        <v>1406</v>
      </c>
      <c r="AH1" s="994" t="s">
        <v>1407</v>
      </c>
      <c r="AI1" s="994" t="s">
        <v>1408</v>
      </c>
      <c r="AK1" s="994" t="s">
        <v>1409</v>
      </c>
      <c r="AM1" s="994" t="s">
        <v>1410</v>
      </c>
      <c r="AP1" s="994" t="s">
        <v>1411</v>
      </c>
      <c r="AQ1" s="994" t="s">
        <v>1412</v>
      </c>
      <c r="AS1" s="994" t="s">
        <v>1413</v>
      </c>
      <c r="AU1" s="994" t="s">
        <v>1414</v>
      </c>
      <c r="AW1" s="994" t="s">
        <v>1415</v>
      </c>
      <c r="AX1" s="994" t="s">
        <v>1416</v>
      </c>
      <c r="AZ1" s="1076" t="s">
        <v>1417</v>
      </c>
      <c r="BB1" s="994" t="s">
        <v>1418</v>
      </c>
      <c r="BC1" s="994"/>
      <c r="BE1" s="994" t="s">
        <v>1419</v>
      </c>
      <c r="BF1" s="994" t="s">
        <v>1420</v>
      </c>
      <c r="BH1" s="996" t="s">
        <v>1016</v>
      </c>
      <c r="BI1" s="997"/>
      <c r="BJ1" s="998" t="s">
        <v>1421</v>
      </c>
      <c r="BK1" s="997"/>
      <c r="BL1" s="999" t="s">
        <v>1115</v>
      </c>
      <c r="BM1" s="997"/>
      <c r="BN1" s="1000" t="s">
        <v>1422</v>
      </c>
    </row>
    <row r="2" spans="1:79" ht="11.25" customHeight="1">
      <c r="A2" s="1001" t="s">
        <v>1423</v>
      </c>
      <c r="B2" s="1002">
        <v>2000</v>
      </c>
      <c r="C2" s="1002">
        <v>2022</v>
      </c>
      <c r="D2" s="1002" t="s">
        <v>53</v>
      </c>
      <c r="E2" s="1003" t="s">
        <v>1424</v>
      </c>
      <c r="F2" s="1003" t="s">
        <v>1425</v>
      </c>
      <c r="G2" s="1003" t="s">
        <v>1426</v>
      </c>
      <c r="H2" s="1004" t="s">
        <v>42</v>
      </c>
      <c r="I2" s="1003" t="s">
        <v>184</v>
      </c>
      <c r="J2" s="1003" t="s">
        <v>1427</v>
      </c>
      <c r="K2" s="1005" t="s">
        <v>1428</v>
      </c>
      <c r="L2" s="1006"/>
      <c r="M2" s="1005">
        <v>1</v>
      </c>
      <c r="N2" s="1086" t="s">
        <v>1429</v>
      </c>
      <c r="O2" s="1004" t="s">
        <v>656</v>
      </c>
      <c r="P2" s="1007" t="s">
        <v>24</v>
      </c>
      <c r="Q2" s="1008" t="s">
        <v>654</v>
      </c>
      <c r="R2" s="80" t="s">
        <v>1430</v>
      </c>
      <c r="S2" s="80" t="s">
        <v>1431</v>
      </c>
      <c r="T2" s="1009" t="s">
        <v>1432</v>
      </c>
      <c r="U2" s="1006" t="s">
        <v>1433</v>
      </c>
      <c r="V2" s="1010">
        <v>1</v>
      </c>
      <c r="W2" s="1011"/>
      <c r="X2" s="1011" t="s">
        <v>1434</v>
      </c>
      <c r="Y2" s="1002" t="s">
        <v>1435</v>
      </c>
      <c r="Z2" s="1012"/>
      <c r="AA2" s="1002" t="s">
        <v>1436</v>
      </c>
      <c r="AB2" s="1013" t="s">
        <v>1436</v>
      </c>
      <c r="AC2" s="1002" t="s">
        <v>1437</v>
      </c>
      <c r="AD2" s="1013" t="s">
        <v>1437</v>
      </c>
      <c r="AF2" s="1004" t="s">
        <v>1433</v>
      </c>
      <c r="AH2" s="1003" t="s">
        <v>1438</v>
      </c>
      <c r="AI2" s="1003" t="s">
        <v>1438</v>
      </c>
      <c r="AK2" s="1003" t="s">
        <v>1439</v>
      </c>
      <c r="AM2" s="1003" t="s">
        <v>1440</v>
      </c>
      <c r="AP2" s="1014" t="s">
        <v>1434</v>
      </c>
      <c r="AQ2" s="1015" t="s">
        <v>1434</v>
      </c>
      <c r="AS2" s="1002" t="s">
        <v>1441</v>
      </c>
      <c r="AU2" s="1044" t="s">
        <v>1442</v>
      </c>
      <c r="AW2" s="1044" t="s">
        <v>1443</v>
      </c>
      <c r="AX2" s="1044" t="s">
        <v>1443</v>
      </c>
      <c r="AZ2" s="1044" t="s">
        <v>40</v>
      </c>
      <c r="BB2" s="1044" t="s">
        <v>1444</v>
      </c>
      <c r="BC2" s="1044" t="s">
        <v>1445</v>
      </c>
      <c r="BE2" s="1044">
        <v>2000</v>
      </c>
      <c r="BF2" s="1044" t="s">
        <v>1446</v>
      </c>
    </row>
    <row r="3" spans="1:79" ht="11.25" customHeight="1">
      <c r="A3" s="1001" t="s">
        <v>1447</v>
      </c>
      <c r="B3" s="1002">
        <v>2001</v>
      </c>
      <c r="C3" s="1002">
        <v>2023</v>
      </c>
      <c r="D3" s="1002" t="s">
        <v>6</v>
      </c>
      <c r="E3" s="1003" t="s">
        <v>1448</v>
      </c>
      <c r="F3" s="1003" t="s">
        <v>1449</v>
      </c>
      <c r="G3" s="1003" t="s">
        <v>1450</v>
      </c>
      <c r="H3" s="1004" t="s">
        <v>1451</v>
      </c>
      <c r="I3" s="1003" t="s">
        <v>89</v>
      </c>
      <c r="J3" s="1003" t="s">
        <v>765</v>
      </c>
      <c r="K3" s="1005" t="s">
        <v>1359</v>
      </c>
      <c r="L3" s="1006">
        <f>IFERROR(MATCH(K3,OFFER_METHOD,0),0)</f>
        <v>4</v>
      </c>
      <c r="M3" s="1005">
        <v>2</v>
      </c>
      <c r="N3" s="1086" t="s">
        <v>1452</v>
      </c>
      <c r="O3" s="1004" t="s">
        <v>1453</v>
      </c>
      <c r="P3" s="1007" t="s">
        <v>1454</v>
      </c>
      <c r="Q3" s="1008" t="s">
        <v>1455</v>
      </c>
      <c r="R3" s="80" t="s">
        <v>1456</v>
      </c>
      <c r="S3" s="80" t="s">
        <v>1457</v>
      </c>
      <c r="T3" s="1009" t="s">
        <v>1458</v>
      </c>
      <c r="U3" s="1006" t="s">
        <v>1459</v>
      </c>
      <c r="V3" s="1010">
        <v>2</v>
      </c>
      <c r="W3" s="1011"/>
      <c r="X3" s="1011" t="s">
        <v>1460</v>
      </c>
      <c r="Y3" s="1002" t="s">
        <v>1435</v>
      </c>
      <c r="Z3" s="1012"/>
      <c r="AA3" s="1002" t="s">
        <v>1461</v>
      </c>
      <c r="AB3" s="1013" t="s">
        <v>1461</v>
      </c>
      <c r="AC3" s="1002" t="s">
        <v>1462</v>
      </c>
      <c r="AD3" s="1013" t="s">
        <v>1462</v>
      </c>
      <c r="AF3" s="1004" t="s">
        <v>1459</v>
      </c>
      <c r="AH3" s="1003" t="s">
        <v>1463</v>
      </c>
      <c r="AI3" s="1003" t="s">
        <v>1464</v>
      </c>
      <c r="AK3" s="1003" t="s">
        <v>1465</v>
      </c>
      <c r="AM3" s="1003" t="s">
        <v>1466</v>
      </c>
      <c r="AP3" s="1014" t="s">
        <v>226</v>
      </c>
      <c r="AQ3" s="1015" t="s">
        <v>226</v>
      </c>
      <c r="AS3" s="1002" t="s">
        <v>1467</v>
      </c>
      <c r="AU3" s="1044" t="s">
        <v>1468</v>
      </c>
      <c r="AW3" s="1044" t="s">
        <v>1469</v>
      </c>
      <c r="AX3" s="1044" t="s">
        <v>1469</v>
      </c>
      <c r="AZ3" s="1044" t="s">
        <v>1470</v>
      </c>
      <c r="BB3" s="1044" t="s">
        <v>1471</v>
      </c>
      <c r="BC3" s="1044" t="s">
        <v>1445</v>
      </c>
      <c r="BE3" s="1044">
        <v>2001</v>
      </c>
      <c r="BF3" s="1044" t="s">
        <v>1472</v>
      </c>
      <c r="BH3" s="994" t="s">
        <v>1473</v>
      </c>
      <c r="BJ3" s="994" t="s">
        <v>1474</v>
      </c>
      <c r="BL3" s="994" t="s">
        <v>1475</v>
      </c>
      <c r="BN3" s="994" t="s">
        <v>1476</v>
      </c>
      <c r="BR3" s="994" t="s">
        <v>1477</v>
      </c>
      <c r="BS3" s="1352"/>
      <c r="BT3" s="997"/>
      <c r="BU3" s="994" t="s">
        <v>1478</v>
      </c>
      <c r="BV3" s="997"/>
      <c r="BW3" s="1614"/>
      <c r="BX3" s="1616" t="s">
        <v>1479</v>
      </c>
      <c r="CA3" s="994" t="s">
        <v>1480</v>
      </c>
    </row>
    <row r="4" spans="1:79" ht="11.25" customHeight="1">
      <c r="A4" s="1001" t="s">
        <v>1481</v>
      </c>
      <c r="B4" s="1002">
        <v>2002</v>
      </c>
      <c r="C4" s="1002">
        <v>2024</v>
      </c>
      <c r="E4" s="1003" t="s">
        <v>1482</v>
      </c>
      <c r="F4" s="1003" t="s">
        <v>1483</v>
      </c>
      <c r="H4" s="1004" t="s">
        <v>1484</v>
      </c>
      <c r="I4" s="1003" t="s">
        <v>77</v>
      </c>
      <c r="J4" s="1003" t="s">
        <v>1485</v>
      </c>
      <c r="K4" s="1005" t="s">
        <v>1486</v>
      </c>
      <c r="L4" s="1006">
        <f>IFERROR(MATCH(K4,OFFER_METHOD,0),0)</f>
        <v>0</v>
      </c>
      <c r="M4" s="1005">
        <v>3</v>
      </c>
      <c r="N4" s="1086" t="s">
        <v>1487</v>
      </c>
      <c r="O4" s="1003" t="s">
        <v>1488</v>
      </c>
      <c r="Q4" s="1008" t="s">
        <v>1489</v>
      </c>
      <c r="R4" s="80" t="s">
        <v>1490</v>
      </c>
      <c r="S4" s="80" t="s">
        <v>1491</v>
      </c>
      <c r="T4" s="1009" t="s">
        <v>1492</v>
      </c>
      <c r="U4" s="1006" t="s">
        <v>1493</v>
      </c>
      <c r="V4" s="1010">
        <v>3</v>
      </c>
      <c r="W4" s="1011"/>
      <c r="X4" s="1011" t="s">
        <v>1494</v>
      </c>
      <c r="Y4" s="1002" t="s">
        <v>1435</v>
      </c>
      <c r="Z4" s="1017"/>
      <c r="AC4" s="1002" t="s">
        <v>1495</v>
      </c>
      <c r="AD4" s="1013" t="s">
        <v>1495</v>
      </c>
      <c r="AF4" s="1004" t="s">
        <v>1493</v>
      </c>
      <c r="AH4" s="1004" t="s">
        <v>1496</v>
      </c>
      <c r="AK4" s="1003" t="s">
        <v>1497</v>
      </c>
      <c r="AM4" s="1003" t="s">
        <v>1498</v>
      </c>
      <c r="AP4" s="1014" t="s">
        <v>1460</v>
      </c>
      <c r="AQ4" s="1015" t="s">
        <v>1460</v>
      </c>
      <c r="AS4" s="1002" t="s">
        <v>1499</v>
      </c>
      <c r="AU4" s="1044" t="s">
        <v>1500</v>
      </c>
      <c r="AW4" s="1044" t="s">
        <v>1501</v>
      </c>
      <c r="AX4" s="1044" t="s">
        <v>1501</v>
      </c>
      <c r="AZ4" s="1044" t="s">
        <v>1502</v>
      </c>
      <c r="BB4" s="1044" t="s">
        <v>1503</v>
      </c>
      <c r="BC4" s="1044" t="s">
        <v>1504</v>
      </c>
      <c r="BE4" s="1044">
        <v>2002</v>
      </c>
      <c r="BF4" s="1044" t="s">
        <v>1505</v>
      </c>
      <c r="BH4" s="995" t="s">
        <v>1506</v>
      </c>
      <c r="BJ4" s="995" t="s">
        <v>1506</v>
      </c>
      <c r="BL4" s="995" t="s">
        <v>1506</v>
      </c>
      <c r="BN4" s="995" t="s">
        <v>1506</v>
      </c>
      <c r="BQ4" s="1356" t="s">
        <v>1507</v>
      </c>
      <c r="BR4" s="1083" t="s">
        <v>1508</v>
      </c>
      <c r="BS4" s="209"/>
      <c r="BT4" s="1356" t="s">
        <v>1509</v>
      </c>
      <c r="BU4" s="1083" t="s">
        <v>1510</v>
      </c>
      <c r="BV4" s="997"/>
      <c r="BW4" s="1621" t="s">
        <v>1511</v>
      </c>
      <c r="BX4" s="1615" t="s">
        <v>1512</v>
      </c>
      <c r="BZ4" s="1356" t="s">
        <v>1513</v>
      </c>
      <c r="CA4" s="1083" t="s">
        <v>1514</v>
      </c>
    </row>
    <row r="5" spans="1:79" ht="11.25" customHeight="1">
      <c r="A5" s="1001" t="s">
        <v>1515</v>
      </c>
      <c r="B5" s="1002">
        <v>2003</v>
      </c>
      <c r="C5" s="1002">
        <v>2025</v>
      </c>
      <c r="E5" s="1003" t="s">
        <v>1516</v>
      </c>
      <c r="F5" s="1003" t="s">
        <v>1517</v>
      </c>
      <c r="H5" s="1004" t="s">
        <v>1518</v>
      </c>
      <c r="I5" s="1003" t="s">
        <v>78</v>
      </c>
      <c r="K5" s="1005" t="s">
        <v>1519</v>
      </c>
      <c r="L5" s="1006">
        <f>IFERROR(MATCH(K5,OFFER_METHOD,0),0)</f>
        <v>0</v>
      </c>
      <c r="M5" s="1005">
        <v>4</v>
      </c>
      <c r="N5" s="1018" t="s">
        <v>1520</v>
      </c>
      <c r="O5" s="1003" t="s">
        <v>1521</v>
      </c>
      <c r="Q5" s="1008" t="s">
        <v>1522</v>
      </c>
      <c r="R5" s="80" t="s">
        <v>1523</v>
      </c>
      <c r="T5" s="1004" t="s">
        <v>1524</v>
      </c>
      <c r="U5" s="1006" t="s">
        <v>1525</v>
      </c>
      <c r="V5" s="1010">
        <v>4</v>
      </c>
      <c r="W5" s="1011"/>
      <c r="X5" s="1011" t="s">
        <v>289</v>
      </c>
      <c r="Y5" s="1002" t="s">
        <v>1526</v>
      </c>
      <c r="Z5" s="1017">
        <v>1</v>
      </c>
      <c r="AF5" s="1004" t="s">
        <v>1527</v>
      </c>
      <c r="AH5" s="1003" t="s">
        <v>1528</v>
      </c>
      <c r="AK5" s="1003" t="s">
        <v>1529</v>
      </c>
      <c r="AM5" s="1003" t="s">
        <v>1530</v>
      </c>
      <c r="AP5" s="1014" t="s">
        <v>289</v>
      </c>
      <c r="AQ5" s="1015" t="s">
        <v>289</v>
      </c>
      <c r="AU5" s="1044" t="s">
        <v>1531</v>
      </c>
      <c r="AW5" s="1044" t="s">
        <v>1532</v>
      </c>
      <c r="AX5" s="1044" t="s">
        <v>1532</v>
      </c>
      <c r="AZ5" s="1044" t="s">
        <v>1533</v>
      </c>
      <c r="BB5" s="1044" t="s">
        <v>1534</v>
      </c>
      <c r="BC5" s="1044" t="s">
        <v>1535</v>
      </c>
      <c r="BE5" s="1044">
        <v>2003</v>
      </c>
      <c r="BF5" s="1044" t="s">
        <v>1536</v>
      </c>
      <c r="BH5" s="995" t="s">
        <v>1537</v>
      </c>
      <c r="BJ5" s="995" t="s">
        <v>1537</v>
      </c>
      <c r="BL5" s="995" t="s">
        <v>1537</v>
      </c>
      <c r="BN5" s="995" t="s">
        <v>1538</v>
      </c>
      <c r="BQ5" s="1205">
        <v>4213775</v>
      </c>
      <c r="BR5" s="995" t="s">
        <v>1434</v>
      </c>
      <c r="BS5" s="1353"/>
      <c r="BT5" s="1205">
        <v>64236871</v>
      </c>
      <c r="BU5" s="995" t="s">
        <v>437</v>
      </c>
      <c r="BV5" s="997"/>
      <c r="BW5" s="1619">
        <v>4213767</v>
      </c>
      <c r="BX5" s="1617" t="s">
        <v>1539</v>
      </c>
      <c r="BZ5" s="1205">
        <v>64237509</v>
      </c>
      <c r="CA5" s="1219" t="s">
        <v>1540</v>
      </c>
    </row>
    <row r="6" spans="1:79" ht="11.25" customHeight="1">
      <c r="A6" s="1001" t="s">
        <v>1541</v>
      </c>
      <c r="B6" s="1002">
        <v>2004</v>
      </c>
      <c r="C6" s="1002">
        <v>2026</v>
      </c>
      <c r="E6" s="1003" t="s">
        <v>1542</v>
      </c>
      <c r="F6" s="1019"/>
      <c r="H6" s="1004" t="s">
        <v>1543</v>
      </c>
      <c r="I6" s="1003" t="s">
        <v>115</v>
      </c>
      <c r="J6" s="994" t="s">
        <v>1544</v>
      </c>
      <c r="L6" s="1006">
        <f>SUM(kind_of_control_method_filter)</f>
        <v>4</v>
      </c>
      <c r="N6" s="1018" t="s">
        <v>1545</v>
      </c>
      <c r="O6" s="1003" t="s">
        <v>1546</v>
      </c>
      <c r="R6" s="80" t="s">
        <v>654</v>
      </c>
      <c r="T6" s="1004" t="s">
        <v>1547</v>
      </c>
      <c r="U6" s="1006" t="s">
        <v>1527</v>
      </c>
      <c r="V6" s="1010">
        <v>5</v>
      </c>
      <c r="W6" s="1011"/>
      <c r="X6" s="1002" t="s">
        <v>379</v>
      </c>
      <c r="Y6" s="1002" t="s">
        <v>1548</v>
      </c>
      <c r="Z6" s="1017"/>
      <c r="AA6" s="1020"/>
      <c r="AH6" s="1003" t="s">
        <v>1549</v>
      </c>
      <c r="AK6" s="1003" t="s">
        <v>1550</v>
      </c>
      <c r="AM6" s="1003" t="s">
        <v>1551</v>
      </c>
      <c r="AP6" s="1014" t="s">
        <v>379</v>
      </c>
      <c r="AQ6" s="1015" t="s">
        <v>379</v>
      </c>
      <c r="AU6" s="1044" t="s">
        <v>1552</v>
      </c>
      <c r="AW6" s="1044" t="s">
        <v>1553</v>
      </c>
      <c r="AX6" s="1044" t="s">
        <v>1553</v>
      </c>
      <c r="BB6" s="1044" t="s">
        <v>1554</v>
      </c>
      <c r="BC6" s="1044" t="s">
        <v>1535</v>
      </c>
      <c r="BE6" s="1044">
        <v>2004</v>
      </c>
      <c r="BF6" s="1044" t="s">
        <v>1555</v>
      </c>
      <c r="BH6" s="995" t="s">
        <v>1556</v>
      </c>
      <c r="BJ6" s="995" t="s">
        <v>1557</v>
      </c>
      <c r="BL6" s="995" t="s">
        <v>1557</v>
      </c>
      <c r="BN6" s="995" t="s">
        <v>1558</v>
      </c>
      <c r="BQ6" s="1205">
        <v>4213784</v>
      </c>
      <c r="BR6" s="1219" t="s">
        <v>226</v>
      </c>
      <c r="BS6" s="1354"/>
      <c r="BT6" s="1205">
        <v>64236872</v>
      </c>
      <c r="BU6" s="995" t="s">
        <v>442</v>
      </c>
      <c r="BV6" s="997"/>
      <c r="BW6" s="1619">
        <v>4213768</v>
      </c>
      <c r="BX6" s="1617" t="s">
        <v>462</v>
      </c>
      <c r="BZ6" s="1205">
        <v>64237510</v>
      </c>
      <c r="CA6" s="995" t="s">
        <v>1559</v>
      </c>
    </row>
    <row r="7" spans="1:79" ht="11.25" customHeight="1">
      <c r="A7" s="1001" t="s">
        <v>1560</v>
      </c>
      <c r="B7" s="1002">
        <v>2005</v>
      </c>
      <c r="E7" s="1003" t="s">
        <v>1561</v>
      </c>
      <c r="F7" s="1019"/>
      <c r="H7" s="1004" t="s">
        <v>1562</v>
      </c>
      <c r="I7" s="1003" t="s">
        <v>79</v>
      </c>
      <c r="J7" s="1003" t="s">
        <v>1563</v>
      </c>
      <c r="N7" s="1022" t="s">
        <v>1564</v>
      </c>
      <c r="O7" s="1003" t="s">
        <v>1565</v>
      </c>
      <c r="U7" s="1006" t="s">
        <v>6</v>
      </c>
      <c r="V7" s="304" t="s">
        <v>79</v>
      </c>
      <c r="W7" s="1011"/>
      <c r="X7" s="1002" t="s">
        <v>388</v>
      </c>
      <c r="Y7" s="1002" t="s">
        <v>1526</v>
      </c>
      <c r="Z7" s="1017"/>
      <c r="AA7" s="1020"/>
      <c r="AH7" s="1003" t="s">
        <v>1566</v>
      </c>
      <c r="AK7" s="1003" t="s">
        <v>1567</v>
      </c>
      <c r="AM7" s="1003" t="s">
        <v>1568</v>
      </c>
      <c r="AP7" s="1014" t="s">
        <v>388</v>
      </c>
      <c r="AQ7" s="1015" t="s">
        <v>388</v>
      </c>
      <c r="AU7" s="1044" t="s">
        <v>1569</v>
      </c>
      <c r="AW7" s="1044" t="s">
        <v>1570</v>
      </c>
      <c r="AX7" s="1044" t="s">
        <v>1570</v>
      </c>
      <c r="AZ7" s="994" t="s">
        <v>1571</v>
      </c>
      <c r="BB7" s="1044" t="s">
        <v>1572</v>
      </c>
      <c r="BC7" s="1044" t="s">
        <v>1535</v>
      </c>
      <c r="BE7" s="1044">
        <v>2005</v>
      </c>
      <c r="BF7" s="1044" t="s">
        <v>1573</v>
      </c>
      <c r="BH7" s="995" t="s">
        <v>1574</v>
      </c>
      <c r="BJ7" s="995" t="s">
        <v>1556</v>
      </c>
      <c r="BL7" s="995" t="s">
        <v>1556</v>
      </c>
      <c r="BN7" s="995" t="s">
        <v>1575</v>
      </c>
      <c r="BQ7" s="1205">
        <v>4213781</v>
      </c>
      <c r="BR7" s="995" t="s">
        <v>1460</v>
      </c>
      <c r="BS7" s="1353"/>
      <c r="BT7" s="1205">
        <v>64236873</v>
      </c>
      <c r="BU7" s="995" t="s">
        <v>447</v>
      </c>
      <c r="BV7" s="997"/>
      <c r="BW7" s="1619">
        <v>4213769</v>
      </c>
      <c r="BX7" s="1617" t="s">
        <v>1576</v>
      </c>
      <c r="BZ7" s="1205">
        <v>64237511</v>
      </c>
      <c r="CA7" s="995" t="s">
        <v>477</v>
      </c>
    </row>
    <row r="8" spans="1:79" ht="11.25" customHeight="1">
      <c r="A8" s="1001" t="s">
        <v>1577</v>
      </c>
      <c r="B8" s="1002">
        <v>2006</v>
      </c>
      <c r="E8" s="1003" t="s">
        <v>1578</v>
      </c>
      <c r="F8" s="1019"/>
      <c r="H8" s="1004" t="s">
        <v>1579</v>
      </c>
      <c r="I8" s="1003" t="s">
        <v>80</v>
      </c>
      <c r="J8" s="1003" t="s">
        <v>1580</v>
      </c>
      <c r="N8" s="1087" t="s">
        <v>1581</v>
      </c>
      <c r="O8" s="1003" t="s">
        <v>1582</v>
      </c>
      <c r="V8" s="304" t="s">
        <v>80</v>
      </c>
      <c r="W8" s="1011"/>
      <c r="X8" s="1002" t="s">
        <v>394</v>
      </c>
      <c r="Y8" s="1002" t="s">
        <v>1526</v>
      </c>
      <c r="Z8" s="1017"/>
      <c r="AA8" s="1020"/>
      <c r="AK8" s="1003" t="s">
        <v>1583</v>
      </c>
      <c r="AP8" s="1014" t="s">
        <v>394</v>
      </c>
      <c r="AQ8" s="1015" t="s">
        <v>394</v>
      </c>
      <c r="AU8" s="1044" t="s">
        <v>1584</v>
      </c>
      <c r="AW8" s="1044" t="s">
        <v>1585</v>
      </c>
      <c r="AX8" s="1044" t="s">
        <v>1585</v>
      </c>
      <c r="AZ8" s="1044" t="s">
        <v>1586</v>
      </c>
      <c r="BB8" s="1044" t="s">
        <v>1587</v>
      </c>
      <c r="BC8" s="1044" t="s">
        <v>1535</v>
      </c>
      <c r="BE8" s="1044">
        <v>2006</v>
      </c>
      <c r="BF8" s="1044" t="s">
        <v>1588</v>
      </c>
      <c r="BH8" s="995" t="s">
        <v>1589</v>
      </c>
      <c r="BJ8" s="995" t="s">
        <v>1590</v>
      </c>
      <c r="BL8" s="995" t="s">
        <v>1590</v>
      </c>
      <c r="BN8" s="995" t="s">
        <v>1591</v>
      </c>
      <c r="BQ8" s="1205">
        <v>4213776</v>
      </c>
      <c r="BR8" s="995" t="s">
        <v>289</v>
      </c>
      <c r="BS8" s="1353"/>
      <c r="BT8" s="1205">
        <v>64236874</v>
      </c>
      <c r="BU8" s="1219" t="s">
        <v>1592</v>
      </c>
      <c r="BV8" s="997"/>
      <c r="BW8" s="1619">
        <v>4213770</v>
      </c>
      <c r="BX8" s="1620" t="s">
        <v>1593</v>
      </c>
      <c r="BZ8" s="1205">
        <v>64237512</v>
      </c>
      <c r="CA8" s="995" t="s">
        <v>472</v>
      </c>
    </row>
    <row r="9" spans="1:79" ht="11.25" customHeight="1">
      <c r="A9" s="1001" t="s">
        <v>1594</v>
      </c>
      <c r="B9" s="1002">
        <v>2007</v>
      </c>
      <c r="E9" s="1003" t="s">
        <v>1595</v>
      </c>
      <c r="F9" s="1019"/>
      <c r="G9" s="994" t="s">
        <v>1596</v>
      </c>
      <c r="H9" s="994" t="s">
        <v>1597</v>
      </c>
      <c r="I9" s="1003" t="s">
        <v>134</v>
      </c>
      <c r="O9" s="1003" t="s">
        <v>1598</v>
      </c>
      <c r="V9" s="304" t="s">
        <v>134</v>
      </c>
      <c r="W9" s="1011"/>
      <c r="X9" s="1002" t="s">
        <v>400</v>
      </c>
      <c r="Y9" s="1002" t="s">
        <v>1435</v>
      </c>
      <c r="Z9" s="1017">
        <v>1</v>
      </c>
      <c r="AA9" s="1020"/>
      <c r="AK9" s="1003" t="s">
        <v>1599</v>
      </c>
      <c r="AP9" s="1014" t="s">
        <v>1600</v>
      </c>
      <c r="AQ9" s="1015" t="s">
        <v>1600</v>
      </c>
      <c r="AW9" s="1044" t="s">
        <v>1601</v>
      </c>
      <c r="AX9" s="1044" t="s">
        <v>1601</v>
      </c>
      <c r="AZ9" s="1044" t="s">
        <v>1602</v>
      </c>
      <c r="BB9" s="1044" t="s">
        <v>1603</v>
      </c>
      <c r="BC9" s="1044" t="s">
        <v>1535</v>
      </c>
      <c r="BE9" s="1044">
        <v>2007</v>
      </c>
      <c r="BF9" s="1044" t="s">
        <v>1604</v>
      </c>
      <c r="BH9" s="995" t="s">
        <v>1605</v>
      </c>
      <c r="BJ9" s="995" t="s">
        <v>1606</v>
      </c>
      <c r="BL9" s="995" t="s">
        <v>1606</v>
      </c>
      <c r="BN9" s="995" t="s">
        <v>1607</v>
      </c>
      <c r="BQ9" s="1205">
        <v>4213777</v>
      </c>
      <c r="BR9" s="995" t="s">
        <v>379</v>
      </c>
      <c r="BS9" s="1353"/>
      <c r="BT9" s="1205">
        <v>64236875</v>
      </c>
      <c r="BU9" s="995" t="s">
        <v>452</v>
      </c>
      <c r="BV9" s="997"/>
      <c r="BW9" s="1614"/>
      <c r="BX9" s="1614"/>
    </row>
    <row r="10" spans="1:79" ht="11.25" customHeight="1">
      <c r="A10" s="1001" t="s">
        <v>1608</v>
      </c>
      <c r="B10" s="1002">
        <v>2008</v>
      </c>
      <c r="E10" s="1003" t="s">
        <v>1609</v>
      </c>
      <c r="F10" s="1019"/>
      <c r="G10" s="1003" t="s">
        <v>1610</v>
      </c>
      <c r="H10" s="1003" t="s">
        <v>1611</v>
      </c>
      <c r="I10" s="1003" t="s">
        <v>136</v>
      </c>
      <c r="J10" s="994" t="s">
        <v>1612</v>
      </c>
      <c r="K10" s="994" t="s">
        <v>1613</v>
      </c>
      <c r="O10" s="1003" t="s">
        <v>1614</v>
      </c>
      <c r="V10" s="305" t="s">
        <v>136</v>
      </c>
      <c r="W10" s="1023"/>
      <c r="X10" s="1023" t="s">
        <v>1615</v>
      </c>
      <c r="Y10" s="1024" t="s">
        <v>1616</v>
      </c>
      <c r="Z10" s="1017"/>
      <c r="AP10" s="1014" t="s">
        <v>1615</v>
      </c>
      <c r="AQ10" s="1015" t="s">
        <v>1615</v>
      </c>
      <c r="AW10" s="1044" t="s">
        <v>1617</v>
      </c>
      <c r="AX10" s="1044" t="s">
        <v>1617</v>
      </c>
      <c r="AZ10" s="1044" t="s">
        <v>1618</v>
      </c>
      <c r="BB10" s="1044" t="s">
        <v>1619</v>
      </c>
      <c r="BC10" s="1044" t="s">
        <v>1535</v>
      </c>
      <c r="BE10" s="1044">
        <v>2008</v>
      </c>
      <c r="BF10" s="1044" t="s">
        <v>1620</v>
      </c>
      <c r="BH10" s="995" t="s">
        <v>1621</v>
      </c>
      <c r="BJ10" s="995" t="s">
        <v>1622</v>
      </c>
      <c r="BL10" s="995" t="s">
        <v>1622</v>
      </c>
      <c r="BN10" s="995" t="s">
        <v>1623</v>
      </c>
      <c r="BQ10" s="1205">
        <v>4213778</v>
      </c>
      <c r="BR10" s="995" t="s">
        <v>388</v>
      </c>
      <c r="BS10" s="1353"/>
      <c r="BT10" s="1205">
        <v>64236876</v>
      </c>
      <c r="BU10" s="995" t="s">
        <v>432</v>
      </c>
      <c r="BV10" s="997"/>
      <c r="BW10" s="1614"/>
      <c r="BX10" s="1614"/>
    </row>
    <row r="11" spans="1:79" ht="11.25" customHeight="1">
      <c r="A11" s="1001" t="s">
        <v>1624</v>
      </c>
      <c r="B11" s="1002">
        <v>2009</v>
      </c>
      <c r="E11" s="1003" t="s">
        <v>1625</v>
      </c>
      <c r="F11" s="1019"/>
      <c r="G11" s="1003" t="s">
        <v>1626</v>
      </c>
      <c r="H11" s="1003" t="s">
        <v>1627</v>
      </c>
      <c r="I11" s="1003" t="s">
        <v>141</v>
      </c>
      <c r="J11" s="1004" t="s">
        <v>1628</v>
      </c>
      <c r="K11" s="1025" t="s">
        <v>1629</v>
      </c>
      <c r="O11" s="1004" t="s">
        <v>1630</v>
      </c>
      <c r="V11" s="304" t="s">
        <v>141</v>
      </c>
      <c r="W11" s="210"/>
      <c r="X11" s="1011" t="s">
        <v>1600</v>
      </c>
      <c r="Y11" s="1002" t="s">
        <v>1631</v>
      </c>
      <c r="Z11" s="1017"/>
      <c r="AP11" s="1014" t="s">
        <v>400</v>
      </c>
      <c r="AQ11" s="1016" t="s">
        <v>400</v>
      </c>
      <c r="AW11" s="1044" t="s">
        <v>1632</v>
      </c>
      <c r="AX11" s="1044" t="s">
        <v>1632</v>
      </c>
      <c r="AZ11" s="1044" t="s">
        <v>1633</v>
      </c>
      <c r="BB11" s="1044" t="s">
        <v>1634</v>
      </c>
      <c r="BC11" s="1044" t="s">
        <v>1535</v>
      </c>
      <c r="BE11" s="1044">
        <v>2009</v>
      </c>
      <c r="BF11" s="1044" t="s">
        <v>1635</v>
      </c>
      <c r="BH11" s="995" t="s">
        <v>1636</v>
      </c>
      <c r="BJ11" s="995" t="s">
        <v>1605</v>
      </c>
      <c r="BL11" s="995" t="s">
        <v>1605</v>
      </c>
      <c r="BN11" s="995" t="s">
        <v>1637</v>
      </c>
      <c r="BQ11" s="1205">
        <v>4213780</v>
      </c>
      <c r="BR11" s="995" t="s">
        <v>394</v>
      </c>
      <c r="BS11" s="1353"/>
      <c r="BW11" s="1614"/>
      <c r="BX11" s="1614"/>
    </row>
    <row r="12" spans="1:79" ht="11.25" customHeight="1">
      <c r="A12" s="1001" t="s">
        <v>1638</v>
      </c>
      <c r="B12" s="1002">
        <v>2010</v>
      </c>
      <c r="E12" s="1003" t="s">
        <v>1639</v>
      </c>
      <c r="F12" s="1019"/>
      <c r="G12" s="1003" t="s">
        <v>1627</v>
      </c>
      <c r="I12" s="1003" t="s">
        <v>146</v>
      </c>
      <c r="J12" s="1004" t="s">
        <v>1640</v>
      </c>
      <c r="K12" s="1025" t="s">
        <v>1641</v>
      </c>
      <c r="O12" s="1004" t="s">
        <v>654</v>
      </c>
      <c r="V12" s="304" t="s">
        <v>146</v>
      </c>
      <c r="W12" s="1016"/>
      <c r="X12" s="1011" t="s">
        <v>1642</v>
      </c>
      <c r="Y12" s="1002" t="s">
        <v>1435</v>
      </c>
      <c r="AP12" s="1014"/>
      <c r="AW12" s="1044" t="s">
        <v>141</v>
      </c>
      <c r="AX12" s="1044" t="s">
        <v>141</v>
      </c>
      <c r="AZ12" s="1044" t="s">
        <v>1643</v>
      </c>
      <c r="BB12" s="1044" t="s">
        <v>1644</v>
      </c>
      <c r="BC12" s="1044" t="s">
        <v>1535</v>
      </c>
      <c r="BE12" s="1044">
        <v>2010</v>
      </c>
      <c r="BF12" s="1044" t="s">
        <v>1645</v>
      </c>
      <c r="BH12" s="995" t="s">
        <v>1646</v>
      </c>
      <c r="BJ12" s="995" t="s">
        <v>1647</v>
      </c>
      <c r="BL12" s="995" t="s">
        <v>1647</v>
      </c>
      <c r="BN12" s="995" t="s">
        <v>1648</v>
      </c>
      <c r="BQ12" s="1205">
        <v>4213779</v>
      </c>
      <c r="BR12" s="995" t="s">
        <v>1600</v>
      </c>
      <c r="BS12" s="1353"/>
      <c r="BT12" s="997"/>
      <c r="BU12" s="997"/>
      <c r="BV12" s="997"/>
      <c r="BW12" s="1614"/>
      <c r="BX12" s="1614"/>
    </row>
    <row r="13" spans="1:79" ht="11.25" customHeight="1">
      <c r="A13" s="1001" t="s">
        <v>1649</v>
      </c>
      <c r="B13" s="1002">
        <v>2011</v>
      </c>
      <c r="E13" s="1003" t="s">
        <v>1650</v>
      </c>
      <c r="F13" s="1019"/>
      <c r="I13" s="1003" t="s">
        <v>151</v>
      </c>
      <c r="K13" s="1025" t="s">
        <v>1599</v>
      </c>
      <c r="V13" s="304" t="s">
        <v>151</v>
      </c>
      <c r="W13" s="1016"/>
      <c r="X13" s="1016"/>
      <c r="Y13" s="1016"/>
      <c r="AW13" s="1044" t="s">
        <v>146</v>
      </c>
      <c r="AX13" s="1044" t="s">
        <v>146</v>
      </c>
      <c r="BB13" s="1044" t="s">
        <v>1651</v>
      </c>
      <c r="BC13" s="1044" t="s">
        <v>1652</v>
      </c>
      <c r="BE13" s="1044">
        <v>2011</v>
      </c>
      <c r="BF13" s="1044" t="s">
        <v>1653</v>
      </c>
      <c r="BH13" s="995" t="s">
        <v>1654</v>
      </c>
      <c r="BJ13" s="995" t="s">
        <v>1636</v>
      </c>
      <c r="BL13" s="995" t="s">
        <v>1636</v>
      </c>
      <c r="BN13" s="995" t="s">
        <v>1655</v>
      </c>
      <c r="BQ13" s="1205">
        <v>4213783</v>
      </c>
      <c r="BR13" s="995" t="s">
        <v>1615</v>
      </c>
      <c r="BS13" s="1353"/>
      <c r="BT13" s="997"/>
      <c r="BU13" s="997"/>
      <c r="BV13" s="997"/>
      <c r="BW13" s="1618"/>
      <c r="BX13" s="1614"/>
    </row>
    <row r="14" spans="1:79" ht="11.25" customHeight="1">
      <c r="A14" s="1001" t="s">
        <v>1656</v>
      </c>
      <c r="B14" s="1002">
        <v>2012</v>
      </c>
      <c r="I14" s="1003" t="s">
        <v>153</v>
      </c>
      <c r="J14" s="994" t="s">
        <v>1657</v>
      </c>
      <c r="N14" s="994" t="s">
        <v>1658</v>
      </c>
      <c r="V14" s="1010">
        <v>13</v>
      </c>
      <c r="W14" s="1011"/>
      <c r="X14" s="1011" t="s">
        <v>226</v>
      </c>
      <c r="Y14" s="1002" t="s">
        <v>1435</v>
      </c>
      <c r="AW14" s="1044" t="s">
        <v>151</v>
      </c>
      <c r="AX14" s="1044" t="s">
        <v>151</v>
      </c>
      <c r="AZ14" s="994" t="s">
        <v>1659</v>
      </c>
      <c r="BB14" s="1044" t="s">
        <v>1660</v>
      </c>
      <c r="BC14" s="1044" t="s">
        <v>1652</v>
      </c>
      <c r="BE14" s="1044">
        <v>2012</v>
      </c>
      <c r="BH14" s="995" t="s">
        <v>1575</v>
      </c>
      <c r="BJ14" s="1141" t="s">
        <v>1661</v>
      </c>
      <c r="BL14" s="1141" t="s">
        <v>1661</v>
      </c>
      <c r="BN14" s="995" t="s">
        <v>1662</v>
      </c>
      <c r="BQ14" s="1205">
        <v>4213782</v>
      </c>
      <c r="BR14" s="995" t="s">
        <v>400</v>
      </c>
      <c r="BS14" s="1353"/>
      <c r="BT14" s="997"/>
      <c r="BU14" s="997"/>
      <c r="BV14" s="997"/>
      <c r="BW14" s="1618"/>
      <c r="BX14" s="1614"/>
    </row>
    <row r="15" spans="1:79" ht="19.5" customHeight="1">
      <c r="A15" s="1001" t="s">
        <v>1663</v>
      </c>
      <c r="B15" s="1002">
        <v>2013</v>
      </c>
      <c r="E15" s="1622" t="s">
        <v>1664</v>
      </c>
      <c r="G15" s="994" t="s">
        <v>1665</v>
      </c>
      <c r="H15" s="994" t="s">
        <v>1666</v>
      </c>
      <c r="I15" s="1005" t="s">
        <v>155</v>
      </c>
      <c r="J15" s="1016" t="s">
        <v>792</v>
      </c>
      <c r="N15" s="1082" t="s">
        <v>1667</v>
      </c>
      <c r="X15" s="1014"/>
      <c r="AW15" s="1044" t="s">
        <v>153</v>
      </c>
      <c r="AX15" s="1044" t="s">
        <v>153</v>
      </c>
      <c r="AZ15" s="1044" t="s">
        <v>1586</v>
      </c>
      <c r="BB15" s="1044" t="s">
        <v>1668</v>
      </c>
      <c r="BC15" s="1044" t="s">
        <v>1652</v>
      </c>
      <c r="BE15" s="1044">
        <v>2013</v>
      </c>
      <c r="BH15" s="995" t="s">
        <v>1591</v>
      </c>
      <c r="BJ15" s="1141" t="s">
        <v>1669</v>
      </c>
      <c r="BL15" s="1141" t="s">
        <v>1669</v>
      </c>
      <c r="BN15" s="995" t="s">
        <v>1670</v>
      </c>
      <c r="BR15" s="997"/>
      <c r="BS15" s="1355"/>
      <c r="BT15" s="997"/>
      <c r="BU15" s="997"/>
      <c r="BV15" s="997"/>
      <c r="BW15" s="1618"/>
      <c r="BX15" s="1614"/>
    </row>
    <row r="16" spans="1:79" ht="21" customHeight="1">
      <c r="A16" s="1765" t="s">
        <v>1671</v>
      </c>
      <c r="B16" s="1002">
        <v>2014</v>
      </c>
      <c r="E16" s="1623" t="s">
        <v>1672</v>
      </c>
      <c r="G16" s="1003" t="s">
        <v>1673</v>
      </c>
      <c r="H16" s="1003" t="s">
        <v>1674</v>
      </c>
      <c r="I16" s="1005" t="s">
        <v>157</v>
      </c>
      <c r="J16" s="1016" t="s">
        <v>765</v>
      </c>
      <c r="N16" s="1082" t="s">
        <v>1675</v>
      </c>
      <c r="AW16" s="1044" t="s">
        <v>155</v>
      </c>
      <c r="AX16" s="1044" t="s">
        <v>155</v>
      </c>
      <c r="AZ16" s="1044" t="s">
        <v>1602</v>
      </c>
      <c r="BB16" s="1044" t="s">
        <v>1676</v>
      </c>
      <c r="BC16" s="1044" t="s">
        <v>1652</v>
      </c>
      <c r="BE16" s="1044">
        <v>2014</v>
      </c>
      <c r="BH16" s="995" t="s">
        <v>1607</v>
      </c>
      <c r="BJ16" s="1141" t="s">
        <v>1677</v>
      </c>
      <c r="BL16" s="1141" t="s">
        <v>1677</v>
      </c>
      <c r="BN16" s="995" t="s">
        <v>1678</v>
      </c>
      <c r="BR16" s="997"/>
      <c r="BS16" s="1355"/>
      <c r="BT16" s="997"/>
      <c r="BU16" s="997"/>
      <c r="BV16" s="997"/>
      <c r="BW16" s="1618"/>
      <c r="BX16" s="1614"/>
    </row>
    <row r="17" spans="1:82" ht="21" customHeight="1">
      <c r="A17" s="1001" t="s">
        <v>1679</v>
      </c>
      <c r="B17" s="1002">
        <v>2015</v>
      </c>
      <c r="G17" s="1003" t="s">
        <v>1627</v>
      </c>
      <c r="H17" s="1003" t="s">
        <v>1627</v>
      </c>
      <c r="I17" s="1003" t="s">
        <v>159</v>
      </c>
      <c r="N17" s="1082" t="s">
        <v>1680</v>
      </c>
      <c r="X17" s="1014"/>
      <c r="AW17" s="1044" t="s">
        <v>157</v>
      </c>
      <c r="AX17" s="1044" t="s">
        <v>157</v>
      </c>
      <c r="AZ17" s="1044" t="s">
        <v>1681</v>
      </c>
      <c r="BB17" s="1044" t="s">
        <v>1682</v>
      </c>
      <c r="BC17" s="1044" t="s">
        <v>1535</v>
      </c>
      <c r="BE17" s="1044">
        <v>2015</v>
      </c>
      <c r="BH17" s="995" t="s">
        <v>1623</v>
      </c>
      <c r="BJ17" s="1141" t="s">
        <v>1683</v>
      </c>
      <c r="BL17" s="1141" t="s">
        <v>1683</v>
      </c>
      <c r="BN17" s="995" t="s">
        <v>1684</v>
      </c>
      <c r="BR17" s="994" t="s">
        <v>1477</v>
      </c>
      <c r="BS17" s="1352"/>
      <c r="BU17" s="994" t="s">
        <v>1685</v>
      </c>
      <c r="BV17" s="997"/>
      <c r="BW17" s="1614"/>
      <c r="BX17" s="1616" t="s">
        <v>1686</v>
      </c>
      <c r="CA17" s="994" t="s">
        <v>1687</v>
      </c>
      <c r="CD17" s="994" t="s">
        <v>1688</v>
      </c>
    </row>
    <row r="18" spans="1:82" ht="21" customHeight="1">
      <c r="A18" s="1001" t="s">
        <v>1689</v>
      </c>
      <c r="B18" s="1002">
        <v>2016</v>
      </c>
      <c r="E18" s="1897" t="s">
        <v>1690</v>
      </c>
      <c r="I18" s="1003" t="s">
        <v>92</v>
      </c>
      <c r="N18" s="1082" t="s">
        <v>1691</v>
      </c>
      <c r="X18" s="1014"/>
      <c r="AW18" s="1044" t="s">
        <v>159</v>
      </c>
      <c r="AX18" s="1044" t="s">
        <v>159</v>
      </c>
      <c r="BB18" s="1044" t="s">
        <v>1692</v>
      </c>
      <c r="BC18" s="1044" t="s">
        <v>1535</v>
      </c>
      <c r="BE18" s="1044">
        <v>2016</v>
      </c>
      <c r="BH18" s="995" t="s">
        <v>1637</v>
      </c>
      <c r="BJ18" s="1141" t="s">
        <v>1693</v>
      </c>
      <c r="BL18" s="1141" t="s">
        <v>1693</v>
      </c>
      <c r="BN18" s="995" t="s">
        <v>1694</v>
      </c>
      <c r="BQ18" s="1356" t="s">
        <v>1507</v>
      </c>
      <c r="BR18" s="1083" t="s">
        <v>1508</v>
      </c>
      <c r="BS18" s="209"/>
      <c r="BT18" s="1356" t="s">
        <v>1695</v>
      </c>
      <c r="BU18" s="1083" t="s">
        <v>1696</v>
      </c>
      <c r="BV18" s="997"/>
      <c r="BW18" s="1621" t="s">
        <v>1697</v>
      </c>
      <c r="BX18" s="1615" t="s">
        <v>1698</v>
      </c>
      <c r="BZ18" s="1356" t="s">
        <v>1699</v>
      </c>
      <c r="CA18" s="1083" t="s">
        <v>1700</v>
      </c>
      <c r="CC18" s="1356" t="s">
        <v>1701</v>
      </c>
      <c r="CD18" s="1083" t="s">
        <v>1702</v>
      </c>
    </row>
    <row r="19" spans="1:82" ht="21" customHeight="1">
      <c r="A19" s="1765" t="s">
        <v>1703</v>
      </c>
      <c r="B19" s="1002">
        <v>2017</v>
      </c>
      <c r="E19" s="1001" t="s">
        <v>288</v>
      </c>
      <c r="I19" s="1003" t="s">
        <v>162</v>
      </c>
      <c r="N19" s="1082" t="s">
        <v>1704</v>
      </c>
      <c r="X19" s="1014"/>
      <c r="AW19" s="1044" t="s">
        <v>92</v>
      </c>
      <c r="AX19" s="1044" t="s">
        <v>92</v>
      </c>
      <c r="AZ19" s="994" t="s">
        <v>1705</v>
      </c>
      <c r="BB19" s="1044" t="s">
        <v>1706</v>
      </c>
      <c r="BC19" s="1044" t="s">
        <v>1535</v>
      </c>
      <c r="BE19" s="1044">
        <v>2017</v>
      </c>
      <c r="BH19" s="995" t="s">
        <v>1707</v>
      </c>
      <c r="BJ19" s="1141" t="s">
        <v>1708</v>
      </c>
      <c r="BL19" s="1141" t="s">
        <v>1708</v>
      </c>
      <c r="BQ19" s="1205">
        <v>4190064</v>
      </c>
      <c r="BR19" s="995" t="s">
        <v>1709</v>
      </c>
      <c r="BS19" s="1353"/>
      <c r="BT19" s="1205">
        <v>4189671</v>
      </c>
      <c r="BU19" s="995" t="s">
        <v>1710</v>
      </c>
      <c r="BV19" s="997"/>
      <c r="BW19" s="1619">
        <v>4189706</v>
      </c>
      <c r="BX19" s="1617" t="s">
        <v>1711</v>
      </c>
      <c r="BZ19" s="1205">
        <v>4189714</v>
      </c>
      <c r="CA19" s="995" t="s">
        <v>1712</v>
      </c>
      <c r="CC19" s="1205">
        <v>4189708</v>
      </c>
      <c r="CD19" s="995" t="s">
        <v>1713</v>
      </c>
    </row>
    <row r="20" spans="1:82" ht="21" customHeight="1">
      <c r="A20" s="1001" t="s">
        <v>1714</v>
      </c>
      <c r="B20" s="1002">
        <v>2018</v>
      </c>
      <c r="E20" s="1001" t="s">
        <v>226</v>
      </c>
      <c r="I20" s="1003" t="s">
        <v>164</v>
      </c>
      <c r="N20" s="1082" t="s">
        <v>1715</v>
      </c>
      <c r="AW20" s="1044" t="s">
        <v>162</v>
      </c>
      <c r="AX20" s="1044" t="s">
        <v>162</v>
      </c>
      <c r="AZ20" s="1044" t="s">
        <v>1716</v>
      </c>
      <c r="BB20" s="1044" t="s">
        <v>1717</v>
      </c>
      <c r="BC20" s="1044" t="s">
        <v>1652</v>
      </c>
      <c r="BE20" s="1044">
        <v>2018</v>
      </c>
      <c r="BH20" s="995" t="s">
        <v>1648</v>
      </c>
      <c r="BJ20" s="995" t="s">
        <v>1575</v>
      </c>
      <c r="BL20" s="995" t="s">
        <v>1575</v>
      </c>
      <c r="BQ20" s="1205">
        <v>4190065</v>
      </c>
      <c r="BR20" s="995" t="s">
        <v>1718</v>
      </c>
      <c r="BS20" s="1353"/>
      <c r="BT20" s="1205">
        <v>4189672</v>
      </c>
      <c r="BU20" s="995" t="s">
        <v>1719</v>
      </c>
      <c r="BV20" s="997"/>
      <c r="BW20" s="1619">
        <v>4189705</v>
      </c>
      <c r="BX20" s="1617" t="s">
        <v>1720</v>
      </c>
      <c r="BZ20" s="1205">
        <v>4189713</v>
      </c>
      <c r="CA20" s="995" t="s">
        <v>1720</v>
      </c>
      <c r="CC20" s="1205">
        <v>4189709</v>
      </c>
      <c r="CD20" s="995" t="s">
        <v>1721</v>
      </c>
    </row>
    <row r="21" spans="1:82" ht="21" customHeight="1">
      <c r="A21" s="1001" t="s">
        <v>1722</v>
      </c>
      <c r="B21" s="1002">
        <v>2019</v>
      </c>
      <c r="I21" s="1003" t="s">
        <v>166</v>
      </c>
      <c r="N21" s="1082" t="s">
        <v>1723</v>
      </c>
      <c r="AW21" s="1044" t="s">
        <v>164</v>
      </c>
      <c r="AX21" s="1044" t="s">
        <v>164</v>
      </c>
      <c r="AZ21" s="1044" t="s">
        <v>1724</v>
      </c>
      <c r="BB21" s="1044" t="s">
        <v>1725</v>
      </c>
      <c r="BC21" s="1044" t="s">
        <v>1535</v>
      </c>
      <c r="BE21" s="1044">
        <v>2019</v>
      </c>
      <c r="BH21" s="995" t="s">
        <v>1655</v>
      </c>
      <c r="BJ21" s="995" t="s">
        <v>1591</v>
      </c>
      <c r="BL21" s="995" t="s">
        <v>1591</v>
      </c>
      <c r="BQ21" s="1205">
        <v>4190066</v>
      </c>
      <c r="BR21" s="995" t="s">
        <v>1726</v>
      </c>
      <c r="BS21" s="1353"/>
      <c r="BT21" s="1205">
        <v>4189673</v>
      </c>
      <c r="BU21" s="995" t="s">
        <v>1727</v>
      </c>
      <c r="BV21" s="997"/>
      <c r="BW21" s="1619">
        <v>4189707</v>
      </c>
      <c r="BX21" s="1617" t="s">
        <v>1728</v>
      </c>
      <c r="BZ21" s="1205">
        <v>4189712</v>
      </c>
      <c r="CA21" s="995" t="s">
        <v>1729</v>
      </c>
      <c r="CC21" s="1205">
        <v>4189710</v>
      </c>
      <c r="CD21" s="995" t="s">
        <v>1730</v>
      </c>
    </row>
    <row r="22" spans="1:82" ht="21" customHeight="1">
      <c r="A22" s="1001" t="s">
        <v>1731</v>
      </c>
      <c r="B22" s="1002">
        <v>2020</v>
      </c>
      <c r="N22" s="1082" t="s">
        <v>1732</v>
      </c>
      <c r="AW22" s="1044" t="s">
        <v>166</v>
      </c>
      <c r="AX22" s="1044" t="s">
        <v>166</v>
      </c>
      <c r="AZ22" s="1044" t="s">
        <v>1733</v>
      </c>
      <c r="BB22" s="1044" t="s">
        <v>1734</v>
      </c>
      <c r="BC22" s="1044" t="s">
        <v>1535</v>
      </c>
      <c r="BE22" s="1044">
        <v>2020</v>
      </c>
      <c r="BH22" s="995" t="s">
        <v>1662</v>
      </c>
      <c r="BJ22" s="995" t="s">
        <v>1607</v>
      </c>
      <c r="BL22" s="995" t="s">
        <v>1607</v>
      </c>
      <c r="BQ22" s="1205">
        <v>4190067</v>
      </c>
      <c r="BR22" s="995" t="s">
        <v>1735</v>
      </c>
      <c r="BS22" s="1353"/>
      <c r="BT22" s="1205">
        <v>4189674</v>
      </c>
      <c r="BU22" s="995" t="s">
        <v>1736</v>
      </c>
      <c r="BV22" s="997"/>
      <c r="BW22" s="997"/>
      <c r="CC22" s="1205">
        <v>4189711</v>
      </c>
      <c r="CD22" s="995" t="s">
        <v>501</v>
      </c>
    </row>
    <row r="23" spans="1:82" ht="21" customHeight="1">
      <c r="A23" s="1001" t="s">
        <v>1737</v>
      </c>
      <c r="B23" s="1002">
        <v>2021</v>
      </c>
      <c r="AW23" s="1044" t="s">
        <v>168</v>
      </c>
      <c r="AX23" s="1044" t="s">
        <v>168</v>
      </c>
      <c r="AZ23" s="1044" t="s">
        <v>1738</v>
      </c>
      <c r="BB23" s="1044" t="s">
        <v>1739</v>
      </c>
      <c r="BC23" s="1044" t="s">
        <v>1445</v>
      </c>
      <c r="BE23" s="1044">
        <v>2021</v>
      </c>
      <c r="BH23" s="995" t="s">
        <v>1670</v>
      </c>
      <c r="BJ23" s="995" t="s">
        <v>1623</v>
      </c>
      <c r="BL23" s="995" t="s">
        <v>1623</v>
      </c>
      <c r="BQ23" s="1205">
        <v>4190068</v>
      </c>
      <c r="BR23" s="995" t="s">
        <v>1740</v>
      </c>
      <c r="BS23" s="1353"/>
      <c r="BT23" s="1205">
        <v>4189675</v>
      </c>
      <c r="BU23" s="995" t="s">
        <v>1741</v>
      </c>
      <c r="BV23" s="997"/>
      <c r="BW23" s="997"/>
      <c r="CC23" s="1205">
        <v>5110778</v>
      </c>
      <c r="CD23" s="995" t="s">
        <v>1742</v>
      </c>
    </row>
    <row r="24" spans="1:82" ht="21" customHeight="1">
      <c r="A24" s="1001" t="s">
        <v>1743</v>
      </c>
      <c r="B24" s="1002">
        <v>2022</v>
      </c>
      <c r="AW24" s="1044" t="s">
        <v>170</v>
      </c>
      <c r="AX24" s="1044" t="s">
        <v>170</v>
      </c>
      <c r="AZ24" s="1044" t="s">
        <v>1744</v>
      </c>
      <c r="BB24" s="1044" t="s">
        <v>1745</v>
      </c>
      <c r="BC24" s="1044" t="s">
        <v>1746</v>
      </c>
      <c r="BE24" s="1044">
        <v>2022</v>
      </c>
      <c r="BH24" s="995" t="s">
        <v>1678</v>
      </c>
      <c r="BJ24" s="995" t="s">
        <v>1637</v>
      </c>
      <c r="BL24" s="995" t="s">
        <v>1637</v>
      </c>
      <c r="BQ24" s="1205">
        <v>4190069</v>
      </c>
      <c r="BR24" s="995" t="s">
        <v>1747</v>
      </c>
      <c r="BS24" s="1353"/>
      <c r="BT24" s="1205">
        <v>4189676</v>
      </c>
      <c r="BU24" s="995" t="s">
        <v>1748</v>
      </c>
      <c r="BV24" s="997"/>
      <c r="BW24" s="997"/>
      <c r="CC24" s="1205">
        <v>25575374</v>
      </c>
      <c r="CD24" s="995" t="s">
        <v>1749</v>
      </c>
    </row>
    <row r="25" spans="1:82" ht="11.25" customHeight="1">
      <c r="A25" s="1001" t="s">
        <v>1750</v>
      </c>
      <c r="B25" s="1002">
        <v>2023</v>
      </c>
      <c r="AW25" s="1044" t="s">
        <v>172</v>
      </c>
      <c r="AX25" s="1044" t="s">
        <v>172</v>
      </c>
      <c r="AZ25" s="1044" t="s">
        <v>1751</v>
      </c>
      <c r="BB25" s="1044" t="s">
        <v>1752</v>
      </c>
      <c r="BC25" s="1044" t="s">
        <v>1746</v>
      </c>
      <c r="BE25" s="1044">
        <v>2023</v>
      </c>
      <c r="BH25" s="995" t="s">
        <v>1684</v>
      </c>
      <c r="BJ25" s="995" t="s">
        <v>1707</v>
      </c>
      <c r="BL25" s="995" t="s">
        <v>1707</v>
      </c>
      <c r="BQ25" s="1205">
        <v>4190070</v>
      </c>
      <c r="BR25" s="995" t="s">
        <v>1753</v>
      </c>
      <c r="BS25" s="1353"/>
      <c r="BT25" s="1205">
        <v>4189677</v>
      </c>
      <c r="BU25" s="995" t="s">
        <v>1754</v>
      </c>
      <c r="BV25" s="997"/>
      <c r="BW25" s="997"/>
    </row>
    <row r="26" spans="1:82" ht="11.25" customHeight="1">
      <c r="A26" s="1001" t="s">
        <v>1755</v>
      </c>
      <c r="B26" s="1002">
        <v>2024</v>
      </c>
      <c r="J26" s="1627" t="s">
        <v>1756</v>
      </c>
      <c r="AX26" s="1044" t="s">
        <v>659</v>
      </c>
      <c r="AZ26" s="1044" t="s">
        <v>1630</v>
      </c>
      <c r="BB26" s="1044" t="s">
        <v>1757</v>
      </c>
      <c r="BC26" s="1044" t="s">
        <v>1746</v>
      </c>
      <c r="BE26" s="1044">
        <v>2024</v>
      </c>
      <c r="BH26" s="995" t="s">
        <v>1694</v>
      </c>
      <c r="BJ26" s="995" t="s">
        <v>1648</v>
      </c>
      <c r="BL26" s="995" t="s">
        <v>1648</v>
      </c>
      <c r="BQ26" s="1205">
        <v>4190071</v>
      </c>
      <c r="BR26" s="995" t="s">
        <v>1758</v>
      </c>
      <c r="BS26" s="1353"/>
      <c r="BV26" s="997"/>
      <c r="BW26" s="997"/>
    </row>
    <row r="27" spans="1:82" ht="11.25" customHeight="1">
      <c r="A27" s="1001" t="s">
        <v>1759</v>
      </c>
      <c r="B27" s="1002">
        <v>2025</v>
      </c>
      <c r="J27" s="111" t="s">
        <v>90</v>
      </c>
      <c r="AX27" s="1044" t="s">
        <v>658</v>
      </c>
      <c r="BB27" s="1044" t="s">
        <v>1760</v>
      </c>
      <c r="BC27" s="1044" t="s">
        <v>1746</v>
      </c>
      <c r="BE27" s="1044">
        <v>2025</v>
      </c>
      <c r="BH27" s="997" t="s">
        <v>15</v>
      </c>
      <c r="BJ27" s="995" t="s">
        <v>1655</v>
      </c>
      <c r="BL27" s="995" t="s">
        <v>1655</v>
      </c>
      <c r="BN27" s="997" t="s">
        <v>15</v>
      </c>
      <c r="BQ27" s="1205">
        <v>4190072</v>
      </c>
      <c r="BR27" s="995" t="s">
        <v>1761</v>
      </c>
      <c r="BS27" s="1353"/>
      <c r="BV27" s="997"/>
      <c r="BW27" s="997"/>
    </row>
    <row r="28" spans="1:82" ht="11.25" customHeight="1">
      <c r="A28" s="1001" t="s">
        <v>1762</v>
      </c>
      <c r="D28" s="1026"/>
      <c r="E28" s="1027"/>
      <c r="F28" s="1027"/>
      <c r="H28" s="1028" t="s">
        <v>1763</v>
      </c>
      <c r="AX28" s="1044" t="s">
        <v>660</v>
      </c>
      <c r="AZ28" s="994" t="s">
        <v>1764</v>
      </c>
      <c r="BB28" s="1044" t="s">
        <v>1765</v>
      </c>
      <c r="BC28" s="1044" t="s">
        <v>1766</v>
      </c>
      <c r="BE28" s="1044">
        <v>2026</v>
      </c>
      <c r="BH28" s="997" t="s">
        <v>15</v>
      </c>
      <c r="BJ28" s="995" t="s">
        <v>1662</v>
      </c>
      <c r="BL28" s="995" t="s">
        <v>1662</v>
      </c>
      <c r="BN28" s="997" t="s">
        <v>15</v>
      </c>
      <c r="BQ28" s="1205">
        <v>4190073</v>
      </c>
      <c r="BR28" s="995" t="s">
        <v>1767</v>
      </c>
      <c r="BS28" s="1353"/>
      <c r="BV28" s="997"/>
      <c r="BW28" s="997"/>
    </row>
    <row r="29" spans="1:82" ht="11.25" customHeight="1">
      <c r="A29" s="1001" t="s">
        <v>1768</v>
      </c>
      <c r="D29" s="1029" t="s">
        <v>1769</v>
      </c>
      <c r="E29" s="1030" t="str">
        <f>IF(TEMPLATE_GROUP="","",INDEX(StartDateList,MATCH(TEMPLATE_GROUP,CodeTemplateList,0),1))</f>
        <v>01.01.2026</v>
      </c>
      <c r="F29" s="1030" t="str">
        <f>IF(TEMPLATE_GROUP="","",INDEX(EndDateList,MATCH(TEMPLATE_GROUP,CodeTemplateList,0),1))</f>
        <v>31.12.2026</v>
      </c>
      <c r="H29" s="1031" t="s">
        <v>1770</v>
      </c>
      <c r="AX29" s="1044" t="s">
        <v>1771</v>
      </c>
      <c r="AZ29" s="1044" t="s">
        <v>1430</v>
      </c>
      <c r="BB29" s="1044" t="s">
        <v>1630</v>
      </c>
      <c r="BC29" s="1017"/>
      <c r="BE29" s="1044">
        <v>2027</v>
      </c>
      <c r="BJ29" s="995" t="s">
        <v>1670</v>
      </c>
      <c r="BL29" s="995" t="s">
        <v>1670</v>
      </c>
    </row>
    <row r="30" spans="1:82" ht="11.25" customHeight="1">
      <c r="A30" s="1001" t="s">
        <v>1772</v>
      </c>
      <c r="D30" s="1032"/>
      <c r="E30" s="1033"/>
      <c r="F30" s="1033"/>
      <c r="AX30" s="1044" t="s">
        <v>1773</v>
      </c>
      <c r="AZ30" s="1044" t="s">
        <v>1456</v>
      </c>
      <c r="BE30" s="1044">
        <v>2028</v>
      </c>
      <c r="BJ30" s="995" t="s">
        <v>1774</v>
      </c>
      <c r="BL30" s="995" t="s">
        <v>1774</v>
      </c>
    </row>
    <row r="31" spans="1:82" ht="12.75" customHeight="1">
      <c r="A31" s="1001" t="s">
        <v>1775</v>
      </c>
      <c r="D31" s="1026"/>
      <c r="E31" s="1027"/>
      <c r="F31" s="1027"/>
      <c r="H31" s="1034"/>
      <c r="AX31" s="1044" t="s">
        <v>1776</v>
      </c>
      <c r="AZ31" s="1044" t="s">
        <v>1777</v>
      </c>
      <c r="BE31" s="1044">
        <v>2029</v>
      </c>
      <c r="BJ31" s="995" t="s">
        <v>1778</v>
      </c>
      <c r="BL31" s="995" t="s">
        <v>1778</v>
      </c>
    </row>
    <row r="32" spans="1:82" ht="11.25" customHeight="1">
      <c r="A32" s="1001" t="s">
        <v>1779</v>
      </c>
      <c r="D32" s="1029" t="s">
        <v>1780</v>
      </c>
      <c r="E32" s="1030" t="str">
        <f>IF(TEMPLATE_GROUP="","",INDEX(StartDateList,MATCH(TEMPLATE_GROUP,CodeTemplateList,0),1))</f>
        <v>01.01.2026</v>
      </c>
      <c r="F32" s="1030" t="str">
        <f>IF(TEMPLATE_GROUP="","",INDEX(EndDateList,MATCH(TEMPLATE_GROUP,CodeTemplateList,0),1))</f>
        <v>31.12.2026</v>
      </c>
      <c r="H32" s="1035" t="s">
        <v>1781</v>
      </c>
      <c r="O32" s="1001" t="s">
        <v>656</v>
      </c>
      <c r="AX32" s="1044" t="s">
        <v>1782</v>
      </c>
      <c r="AZ32" s="1044" t="s">
        <v>1523</v>
      </c>
      <c r="BE32" s="1044">
        <v>2030</v>
      </c>
      <c r="BJ32" s="995" t="s">
        <v>1678</v>
      </c>
      <c r="BL32" s="995" t="s">
        <v>1678</v>
      </c>
    </row>
    <row r="33" spans="1:66" ht="11.25" customHeight="1">
      <c r="A33" s="1001" t="s">
        <v>1783</v>
      </c>
      <c r="O33" s="1001" t="s">
        <v>1453</v>
      </c>
      <c r="AX33" s="1044" t="s">
        <v>1784</v>
      </c>
      <c r="AZ33" s="1044" t="s">
        <v>654</v>
      </c>
      <c r="BE33" s="1044">
        <v>2031</v>
      </c>
      <c r="BJ33" s="995" t="s">
        <v>1684</v>
      </c>
      <c r="BL33" s="995" t="s">
        <v>1684</v>
      </c>
    </row>
    <row r="34" spans="1:66" ht="11.25" customHeight="1">
      <c r="A34" s="1001" t="s">
        <v>1785</v>
      </c>
      <c r="O34" s="1001" t="s">
        <v>1488</v>
      </c>
      <c r="AX34" s="1044" t="s">
        <v>1786</v>
      </c>
      <c r="BE34" s="1044">
        <v>2032</v>
      </c>
      <c r="BJ34" s="995" t="s">
        <v>1694</v>
      </c>
      <c r="BL34" s="995" t="s">
        <v>1694</v>
      </c>
    </row>
    <row r="35" spans="1:66" ht="11.25" customHeight="1">
      <c r="A35" s="1001" t="s">
        <v>1787</v>
      </c>
      <c r="O35" s="1001" t="s">
        <v>1521</v>
      </c>
      <c r="AX35" s="1044" t="s">
        <v>1788</v>
      </c>
      <c r="AZ35" s="994" t="s">
        <v>1789</v>
      </c>
      <c r="BE35" s="1044">
        <v>2033</v>
      </c>
      <c r="BL35" s="995" t="s">
        <v>1790</v>
      </c>
    </row>
    <row r="36" spans="1:66" ht="11.25" customHeight="1">
      <c r="A36" s="1765" t="s">
        <v>1791</v>
      </c>
      <c r="D36" s="1036" t="s">
        <v>1792</v>
      </c>
      <c r="E36" s="1037" t="s">
        <v>1016</v>
      </c>
      <c r="F36" s="1038" t="str">
        <f>INDEX(E37:E41,MATCH(TEMPLATE_SPHERE,F37:F41,0))</f>
        <v>теплоснабжения</v>
      </c>
      <c r="G36" s="1038" t="str">
        <f>INDEX(G37:G41,MATCH(TEMPLATE_SPHERE,F37:F41,0))</f>
        <v>теплоснабжение</v>
      </c>
      <c r="O36" s="1001" t="s">
        <v>1546</v>
      </c>
      <c r="AX36" s="1044" t="s">
        <v>1793</v>
      </c>
      <c r="AZ36" s="1044" t="s">
        <v>654</v>
      </c>
      <c r="BE36" s="1044">
        <v>2034</v>
      </c>
      <c r="BL36" s="995" t="s">
        <v>1794</v>
      </c>
    </row>
    <row r="37" spans="1:66" ht="11.25" customHeight="1">
      <c r="A37" s="1001" t="s">
        <v>1795</v>
      </c>
      <c r="E37" s="341" t="s">
        <v>1796</v>
      </c>
      <c r="F37" s="1039" t="s">
        <v>1016</v>
      </c>
      <c r="G37" s="341" t="s">
        <v>1797</v>
      </c>
      <c r="O37" s="1001" t="s">
        <v>1565</v>
      </c>
      <c r="AX37" s="1044" t="s">
        <v>1798</v>
      </c>
      <c r="AZ37" s="1044" t="s">
        <v>1455</v>
      </c>
      <c r="BE37" s="1044">
        <v>2035</v>
      </c>
    </row>
    <row r="38" spans="1:66" ht="11.25" customHeight="1">
      <c r="A38" s="1001" t="s">
        <v>1799</v>
      </c>
      <c r="E38" s="341" t="s">
        <v>1800</v>
      </c>
      <c r="F38" s="1040" t="s">
        <v>1062</v>
      </c>
      <c r="G38" s="341" t="s">
        <v>1801</v>
      </c>
      <c r="O38" s="1001" t="s">
        <v>1582</v>
      </c>
      <c r="AX38" s="1044" t="s">
        <v>1802</v>
      </c>
      <c r="AZ38" s="1044" t="s">
        <v>1489</v>
      </c>
      <c r="BE38" s="1044">
        <v>2036</v>
      </c>
      <c r="BH38" s="994" t="s">
        <v>1803</v>
      </c>
      <c r="BJ38" s="994" t="s">
        <v>1804</v>
      </c>
      <c r="BL38" s="994" t="s">
        <v>1805</v>
      </c>
      <c r="BN38" s="994" t="s">
        <v>1806</v>
      </c>
    </row>
    <row r="39" spans="1:66" ht="11.25" customHeight="1">
      <c r="A39" s="1001" t="s">
        <v>1807</v>
      </c>
      <c r="E39" s="341" t="s">
        <v>1808</v>
      </c>
      <c r="F39" s="1040" t="s">
        <v>1115</v>
      </c>
      <c r="G39" s="341" t="s">
        <v>1809</v>
      </c>
      <c r="O39" s="1001" t="s">
        <v>1598</v>
      </c>
      <c r="AX39" s="1044" t="s">
        <v>1810</v>
      </c>
      <c r="AZ39" s="1044" t="s">
        <v>1522</v>
      </c>
      <c r="BE39" s="1044">
        <v>2037</v>
      </c>
      <c r="BH39" s="995" t="s">
        <v>1811</v>
      </c>
      <c r="BJ39" s="1141" t="s">
        <v>1811</v>
      </c>
      <c r="BL39" s="1141" t="s">
        <v>1811</v>
      </c>
      <c r="BN39" s="995" t="s">
        <v>1812</v>
      </c>
    </row>
    <row r="40" spans="1:66" ht="11.25" customHeight="1">
      <c r="A40" s="1001" t="s">
        <v>1813</v>
      </c>
      <c r="E40" s="341" t="s">
        <v>1814</v>
      </c>
      <c r="F40" s="1040" t="s">
        <v>1102</v>
      </c>
      <c r="G40" s="341" t="s">
        <v>1815</v>
      </c>
      <c r="O40" s="1001" t="s">
        <v>1614</v>
      </c>
      <c r="AX40" s="1044" t="s">
        <v>131</v>
      </c>
      <c r="BE40" s="1044">
        <v>2038</v>
      </c>
      <c r="BH40" s="995" t="s">
        <v>1816</v>
      </c>
      <c r="BJ40" s="1141" t="s">
        <v>1235</v>
      </c>
      <c r="BL40" s="1141" t="s">
        <v>1235</v>
      </c>
      <c r="BN40" s="995" t="s">
        <v>1269</v>
      </c>
    </row>
    <row r="41" spans="1:66" ht="11.25" customHeight="1">
      <c r="A41" s="1001" t="s">
        <v>1817</v>
      </c>
      <c r="E41" s="341" t="s">
        <v>1818</v>
      </c>
      <c r="F41" s="1040" t="s">
        <v>1819</v>
      </c>
      <c r="G41" s="341" t="s">
        <v>1818</v>
      </c>
      <c r="O41" s="1001" t="s">
        <v>1630</v>
      </c>
      <c r="AX41" s="1044" t="s">
        <v>1820</v>
      </c>
      <c r="AZ41" s="994" t="s">
        <v>1821</v>
      </c>
      <c r="BE41" s="1044">
        <v>2039</v>
      </c>
      <c r="BH41" s="995" t="s">
        <v>1822</v>
      </c>
      <c r="BJ41" s="1141" t="s">
        <v>1231</v>
      </c>
      <c r="BL41" s="1141" t="s">
        <v>1231</v>
      </c>
      <c r="BN41" s="995" t="s">
        <v>1256</v>
      </c>
    </row>
    <row r="42" spans="1:66" ht="11.25" customHeight="1">
      <c r="A42" s="1001" t="s">
        <v>1823</v>
      </c>
      <c r="AX42" s="1044" t="s">
        <v>1824</v>
      </c>
      <c r="AZ42" s="1044" t="s">
        <v>656</v>
      </c>
      <c r="BE42" s="1044">
        <v>2040</v>
      </c>
      <c r="BH42" s="995" t="s">
        <v>1253</v>
      </c>
      <c r="BJ42" s="1141" t="s">
        <v>1233</v>
      </c>
      <c r="BL42" s="1141" t="s">
        <v>1233</v>
      </c>
      <c r="BN42" s="995" t="s">
        <v>1825</v>
      </c>
    </row>
    <row r="43" spans="1:66" ht="11.25" customHeight="1">
      <c r="A43" s="1001" t="s">
        <v>1826</v>
      </c>
      <c r="AX43" s="1044" t="s">
        <v>1827</v>
      </c>
      <c r="AZ43" s="1044" t="s">
        <v>1453</v>
      </c>
      <c r="BE43" s="1044">
        <v>2041</v>
      </c>
      <c r="BH43" s="995" t="s">
        <v>1828</v>
      </c>
      <c r="BJ43" s="1141" t="s">
        <v>1822</v>
      </c>
      <c r="BL43" s="1141" t="s">
        <v>1822</v>
      </c>
      <c r="BN43" s="995" t="s">
        <v>1829</v>
      </c>
    </row>
    <row r="44" spans="1:66" ht="11.25" customHeight="1">
      <c r="A44" s="1001" t="s">
        <v>1830</v>
      </c>
      <c r="G44" s="1020">
        <f ca="1">YEAR(TODAY())</f>
        <v>2025</v>
      </c>
      <c r="I44" s="727" t="s">
        <v>1831</v>
      </c>
      <c r="J44" s="1016" t="s">
        <v>1832</v>
      </c>
      <c r="K44" s="1016" t="s">
        <v>1833</v>
      </c>
      <c r="AX44" s="1044" t="s">
        <v>1834</v>
      </c>
      <c r="AZ44" s="1044" t="s">
        <v>1488</v>
      </c>
      <c r="BE44" s="1044">
        <v>2042</v>
      </c>
      <c r="BH44" s="995" t="s">
        <v>1835</v>
      </c>
      <c r="BJ44" s="1141" t="s">
        <v>1253</v>
      </c>
      <c r="BL44" s="1141" t="s">
        <v>1253</v>
      </c>
      <c r="BN44" s="995" t="s">
        <v>1836</v>
      </c>
    </row>
    <row r="45" spans="1:66" ht="11.25" customHeight="1">
      <c r="A45" s="1001" t="s">
        <v>1837</v>
      </c>
      <c r="D45" s="1036" t="s">
        <v>1838</v>
      </c>
      <c r="E45" s="1037" t="s">
        <v>1839</v>
      </c>
      <c r="F45" s="725" t="s">
        <v>1840</v>
      </c>
      <c r="G45" s="724" t="s">
        <v>1841</v>
      </c>
      <c r="H45" s="727" t="s">
        <v>1842</v>
      </c>
      <c r="I45" s="1637" t="b">
        <f>INDEX(PeriodIsEmptyList,MATCH(TEMPLATE_GROUP,CodeTemplateList,0),1)</f>
        <v>0</v>
      </c>
      <c r="J45" s="164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4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4" t="s">
        <v>1843</v>
      </c>
      <c r="AZ45" s="1044" t="s">
        <v>1521</v>
      </c>
      <c r="BE45" s="1044">
        <v>2043</v>
      </c>
      <c r="BH45" s="995" t="s">
        <v>1844</v>
      </c>
      <c r="BJ45" s="1141" t="s">
        <v>1247</v>
      </c>
      <c r="BL45" s="1141" t="s">
        <v>1247</v>
      </c>
      <c r="BN45" s="995" t="s">
        <v>1845</v>
      </c>
    </row>
    <row r="46" spans="1:66" ht="11.25" customHeight="1">
      <c r="A46" s="1001" t="s">
        <v>1846</v>
      </c>
      <c r="E46" s="341" t="s">
        <v>13</v>
      </c>
      <c r="F46" s="1039" t="s">
        <v>1847</v>
      </c>
      <c r="G46" s="1041" t="str">
        <f ca="1">IFERROR(IF(TITLE_DATE_FIL="","01.01."&amp;CURRENT_YEAR,"01.01."&amp;YEAR(TITLE_DATE_FIL)),"01.01."&amp;CURRENT_YEAR)</f>
        <v>01.01.2025</v>
      </c>
      <c r="H46" s="1041" t="str">
        <f ca="1">IFERROR(IF(TITLE_DATE_FIL="","31.12."&amp;CURRENT_YEAR,"31.12."&amp;YEAR(TITLE_DATE_FIL)),"31.12."&amp;CURRENT_YEAR)</f>
        <v>31.12.2025</v>
      </c>
      <c r="I46" s="1638" t="b">
        <f>IF(TITLE_DATE_FIL="",TRUE,FALSE)</f>
        <v>1</v>
      </c>
      <c r="J46" s="1641" t="str">
        <f>"Общая информация о регулируемой организации ("&amp;TEMPLATE_SPHERE_RUS&amp;")"</f>
        <v>Общая информация о регулируемой организации (теплоснабжения)</v>
      </c>
      <c r="K46" s="1642"/>
      <c r="AX46" s="1044" t="s">
        <v>1848</v>
      </c>
      <c r="AZ46" s="1044" t="s">
        <v>1546</v>
      </c>
      <c r="BE46" s="1044">
        <v>2044</v>
      </c>
      <c r="BH46" s="995" t="s">
        <v>1256</v>
      </c>
      <c r="BJ46" s="1141" t="s">
        <v>1237</v>
      </c>
      <c r="BL46" s="1141" t="s">
        <v>1237</v>
      </c>
      <c r="BN46" s="995" t="s">
        <v>1849</v>
      </c>
    </row>
    <row r="47" spans="1:66" ht="11.25" customHeight="1">
      <c r="A47" s="1001" t="s">
        <v>1850</v>
      </c>
      <c r="E47" s="341" t="s">
        <v>20</v>
      </c>
      <c r="F47" s="1040" t="s">
        <v>1851</v>
      </c>
      <c r="G47" s="1041" t="str">
        <f ca="1">IFERROR(IF(f_year="","01.01."&amp;CURRENT_YEAR,IF(LEN(f_quart)=0,"01.01."&amp;f_year,IF(f_quart="I квартал","01.01."&amp;f_year,IF(f_quart="II квартал","01.04."&amp;f_year,(IF(f_quart="III квартал","01.07."&amp;f_year,"01.10."&amp;f_year)))))),"01.01."&amp;CURRENT_YEAR)</f>
        <v>01.01.2025</v>
      </c>
      <c r="H47" s="1041" t="str">
        <f ca="1">IFERROR(IF(f_year="","31.12."&amp;CURRENT_YEAR,IF(LEN(f_quart)=0,"31.12."&amp;f_year,IF(f_quart="I квартал","31.03."&amp;f_year,IF(f_quart="II квартал","30.06."&amp;f_year,(IF(f_quart="III квартал","30.09."&amp;f_year,"31.12."&amp;f_year)))))),"31.12."&amp;CURRENT_YEAR)</f>
        <v>31.12.2025</v>
      </c>
      <c r="I47" s="1639" t="b">
        <f>IF(OR(f_year="",f_quart=""),TRUE,FALSE)</f>
        <v>1</v>
      </c>
      <c r="J47" s="164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42"/>
      <c r="AX47" s="1044" t="s">
        <v>120</v>
      </c>
      <c r="AZ47" s="1044" t="s">
        <v>1565</v>
      </c>
      <c r="BE47" s="1044">
        <v>2045</v>
      </c>
      <c r="BH47" s="995" t="s">
        <v>1825</v>
      </c>
      <c r="BJ47" s="1141" t="s">
        <v>1239</v>
      </c>
      <c r="BL47" s="1141" t="s">
        <v>1239</v>
      </c>
      <c r="BN47" s="995" t="s">
        <v>1852</v>
      </c>
    </row>
    <row r="48" spans="1:66" ht="11.25" customHeight="1">
      <c r="A48" s="1001" t="s">
        <v>1853</v>
      </c>
      <c r="E48" s="341" t="s">
        <v>1854</v>
      </c>
      <c r="F48" s="1040" t="s">
        <v>1855</v>
      </c>
      <c r="G48" s="1041" t="str">
        <f ca="1">IFERROR(IF(f_year="","01.01."&amp;CURRENT_YEAR,"01.01."&amp;f_year),"01.01."&amp;CURRENT_YEAR)</f>
        <v>01.01.2025</v>
      </c>
      <c r="H48" s="1041" t="str">
        <f ca="1">IFERROR(IF(f_year="","31.12."&amp;CURRENT_YEAR,"31.12."&amp;f_year),"31.12."&amp;CURRENT_YEAR)</f>
        <v>31.12.2025</v>
      </c>
      <c r="I48" s="1638" t="b">
        <f>IF(f_year="",TRUE,FALSE)</f>
        <v>1</v>
      </c>
      <c r="J48" s="1641" t="s">
        <v>1856</v>
      </c>
      <c r="K48" s="1642"/>
      <c r="AX48" s="1044" t="s">
        <v>1857</v>
      </c>
      <c r="AZ48" s="1044" t="s">
        <v>1582</v>
      </c>
      <c r="BE48" s="1044">
        <v>2046</v>
      </c>
      <c r="BH48" s="995" t="s">
        <v>1829</v>
      </c>
      <c r="BJ48" s="1141" t="s">
        <v>1241</v>
      </c>
      <c r="BL48" s="1141" t="s">
        <v>1241</v>
      </c>
      <c r="BN48" s="995" t="s">
        <v>1858</v>
      </c>
    </row>
    <row r="49" spans="1:64" ht="11.25" customHeight="1">
      <c r="A49" s="1001" t="s">
        <v>1859</v>
      </c>
      <c r="E49" s="341" t="s">
        <v>1860</v>
      </c>
      <c r="F49" s="1040" t="s">
        <v>1861</v>
      </c>
      <c r="G49" s="1041" t="str">
        <f ca="1">IFERROR(IF(f_year="","01.01."&amp;CURRENT_YEAR,"01.01."&amp;f_year),"01.01."&amp;CURRENT_YEAR)</f>
        <v>01.01.2025</v>
      </c>
      <c r="H49" s="1041" t="str">
        <f ca="1">IFERROR(IF(f_year="","31.12."&amp;CURRENT_YEAR,"31.12."&amp;f_year),"31.12."&amp;CURRENT_YEAR)</f>
        <v>31.12.2025</v>
      </c>
      <c r="I49" s="1638" t="b">
        <f>IF(f_year="",TRUE,FALSE)</f>
        <v>1</v>
      </c>
      <c r="J49" s="164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42"/>
      <c r="AX49" s="1044" t="s">
        <v>1862</v>
      </c>
      <c r="AZ49" s="1044" t="s">
        <v>1598</v>
      </c>
      <c r="BE49" s="1044">
        <v>2047</v>
      </c>
      <c r="BH49" s="995" t="s">
        <v>1257</v>
      </c>
      <c r="BJ49" s="1141" t="s">
        <v>1243</v>
      </c>
      <c r="BL49" s="1141" t="s">
        <v>1243</v>
      </c>
    </row>
    <row r="50" spans="1:64" ht="11.25" customHeight="1">
      <c r="A50" s="1001" t="s">
        <v>1863</v>
      </c>
      <c r="E50" s="341" t="s">
        <v>1864</v>
      </c>
      <c r="F50" s="1040" t="s">
        <v>1227</v>
      </c>
      <c r="G50" s="1041" t="str">
        <f ca="1">IFERROR(IF(f_year="","01.01."&amp;CURRENT_YEAR,"01.01."&amp;f_year),"01.01."&amp;CURRENT_YEAR)</f>
        <v>01.01.2025</v>
      </c>
      <c r="H50" s="1041" t="str">
        <f ca="1">IFERROR(IF(f_year="","31.12."&amp;CURRENT_YEAR,"31.12."&amp;f_year),"31.12."&amp;CURRENT_YEAR)</f>
        <v>31.12.2025</v>
      </c>
      <c r="I50" s="1638" t="b">
        <f>IF(f_year="",TRUE,FALSE)</f>
        <v>1</v>
      </c>
      <c r="J50" s="164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42"/>
      <c r="AX50" s="1044" t="s">
        <v>1865</v>
      </c>
      <c r="AZ50" s="1044" t="s">
        <v>1614</v>
      </c>
      <c r="BE50" s="1044">
        <v>2048</v>
      </c>
      <c r="BH50" s="995" t="s">
        <v>1836</v>
      </c>
      <c r="BJ50" s="1141" t="s">
        <v>1245</v>
      </c>
      <c r="BL50" s="1141" t="s">
        <v>1245</v>
      </c>
    </row>
    <row r="51" spans="1:64" ht="11.25" customHeight="1">
      <c r="A51" s="1001" t="s">
        <v>1866</v>
      </c>
      <c r="E51" s="341" t="s">
        <v>1867</v>
      </c>
      <c r="F51" s="1040" t="s">
        <v>1839</v>
      </c>
      <c r="G51" s="1041" t="str">
        <f>IFERROR(IF(TITLE_PERIOD_START="","01.01."&amp;CURRENT_YEAR,"01.01."&amp;YEAR(TITLE_PERIOD_START)),"01.01."&amp;CURRENT_YEAR)</f>
        <v>01.01.2026</v>
      </c>
      <c r="H51" s="1041" t="str">
        <f>IFERROR(IF(TITLE_PERIOD_END="","31.12."&amp;CURRENT_YEAR,"31.12."&amp;YEAR(TITLE_PERIOD_END)),"31.12."&amp;CURRENT_YEAR)</f>
        <v>31.12.2026</v>
      </c>
      <c r="I51" s="1639" t="b">
        <f>IF(OR(TITLE_PERIOD_START="",TITLE_PERIOD_END=""),TRUE,FALSE)</f>
        <v>0</v>
      </c>
      <c r="J51" s="164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2"/>
      <c r="AX51" s="1044" t="s">
        <v>1868</v>
      </c>
      <c r="AZ51" s="1044" t="s">
        <v>1630</v>
      </c>
      <c r="BE51" s="1044">
        <v>2049</v>
      </c>
      <c r="BH51" s="995" t="s">
        <v>1845</v>
      </c>
      <c r="BJ51" s="1141" t="s">
        <v>1869</v>
      </c>
      <c r="BL51" s="1141" t="s">
        <v>1869</v>
      </c>
    </row>
    <row r="52" spans="1:64" ht="11.25" customHeight="1">
      <c r="A52" s="1001" t="s">
        <v>1870</v>
      </c>
      <c r="E52" s="341" t="s">
        <v>1871</v>
      </c>
      <c r="F52" s="1040" t="s">
        <v>1872</v>
      </c>
      <c r="G52" s="1041" t="str">
        <f>IFERROR(IF(TITLE_PERIOD_START="","01.01."&amp;CURRENT_YEAR,"01.01."&amp;YEAR(TITLE_PERIOD_START)),"01.01."&amp;CURRENT_YEAR)</f>
        <v>01.01.2026</v>
      </c>
      <c r="H52" s="1041" t="str">
        <f>IFERROR(IF(TITLE_PERIOD_END="","31.12."&amp;CURRENT_YEAR,"31.12."&amp;YEAR(TITLE_PERIOD_END)),"31.12."&amp;CURRENT_YEAR)</f>
        <v>31.12.2026</v>
      </c>
      <c r="I52" s="1639" t="b">
        <f>IF(OR(TITLE_PERIOD_START="",TITLE_PERIOD_END=""),TRUE,FALSE)</f>
        <v>0</v>
      </c>
      <c r="J52" s="1641" t="str">
        <f>"Показатели, подлежащие раскрытию в сфере "&amp;TEMPLATE_SPHERE_RUS&amp;" (цены и тарифы)"</f>
        <v>Показатели, подлежащие раскрытию в сфере теплоснабжения (цены и тарифы)</v>
      </c>
      <c r="K52" s="1642"/>
      <c r="AX52" s="1044" t="s">
        <v>1873</v>
      </c>
      <c r="AZ52" s="1044" t="s">
        <v>654</v>
      </c>
      <c r="BE52" s="1044">
        <v>2050</v>
      </c>
      <c r="BH52" s="995" t="s">
        <v>1849</v>
      </c>
      <c r="BJ52" s="1141" t="s">
        <v>1256</v>
      </c>
      <c r="BL52" s="1141" t="s">
        <v>1256</v>
      </c>
    </row>
    <row r="53" spans="1:64" ht="11.25" customHeight="1">
      <c r="A53" s="1001" t="s">
        <v>1874</v>
      </c>
      <c r="E53" s="341" t="s">
        <v>1875</v>
      </c>
      <c r="F53" s="1040" t="s">
        <v>1875</v>
      </c>
      <c r="G53" s="1041" t="str">
        <f ca="1">IFERROR(IF(f_year="","01.01."&amp;CURRENT_YEAR,"01.01."&amp;f_year),"01.01."&amp;CURRENT_YEAR)</f>
        <v>01.01.2025</v>
      </c>
      <c r="H53" s="1041" t="str">
        <f ca="1">IFERROR(IF(f_year="","31.12."&amp;CURRENT_YEAR,"31.12."&amp;f_year),"31.12."&amp;CURRENT_YEAR)</f>
        <v>31.12.2025</v>
      </c>
      <c r="I53" s="1638" t="b">
        <f>IF(AND(f_year="",TITLE_DATE_FIL=""),TRUE,FALSE)</f>
        <v>1</v>
      </c>
      <c r="J53" s="1641" t="s">
        <v>1876</v>
      </c>
      <c r="K53" s="1642"/>
      <c r="AX53" s="1044" t="s">
        <v>1877</v>
      </c>
      <c r="BE53" s="1044">
        <v>2051</v>
      </c>
      <c r="BH53" s="995" t="s">
        <v>1852</v>
      </c>
      <c r="BJ53" s="1141" t="s">
        <v>1825</v>
      </c>
      <c r="BL53" s="1141" t="s">
        <v>1825</v>
      </c>
    </row>
    <row r="54" spans="1:64" ht="11.25" customHeight="1">
      <c r="A54" s="1001" t="s">
        <v>1878</v>
      </c>
      <c r="AX54" s="1044" t="s">
        <v>123</v>
      </c>
      <c r="AZ54" s="994" t="s">
        <v>1879</v>
      </c>
      <c r="BE54" s="1044">
        <v>2052</v>
      </c>
      <c r="BH54" s="995" t="s">
        <v>1858</v>
      </c>
      <c r="BJ54" s="1141" t="s">
        <v>1829</v>
      </c>
      <c r="BL54" s="1141" t="s">
        <v>1829</v>
      </c>
    </row>
    <row r="55" spans="1:64" ht="11.25" customHeight="1">
      <c r="A55" s="1001" t="s">
        <v>1880</v>
      </c>
      <c r="AX55" s="1044" t="s">
        <v>1881</v>
      </c>
      <c r="AZ55" s="1044" t="s">
        <v>1431</v>
      </c>
      <c r="BE55" s="1044">
        <v>2053</v>
      </c>
      <c r="BH55" s="997" t="s">
        <v>15</v>
      </c>
      <c r="BJ55" s="1141" t="s">
        <v>1257</v>
      </c>
      <c r="BL55" s="1141" t="s">
        <v>1257</v>
      </c>
    </row>
    <row r="56" spans="1:64" ht="11.25" customHeight="1">
      <c r="A56" s="1001" t="s">
        <v>1882</v>
      </c>
      <c r="D56" s="1043" t="s">
        <v>1883</v>
      </c>
      <c r="E56" s="1021" t="s">
        <v>1884</v>
      </c>
      <c r="F56" s="1001" t="s">
        <v>1885</v>
      </c>
      <c r="AX56" s="1044" t="s">
        <v>1886</v>
      </c>
      <c r="AZ56" s="1044" t="s">
        <v>1457</v>
      </c>
      <c r="BE56" s="1044">
        <v>2054</v>
      </c>
      <c r="BH56" s="997" t="s">
        <v>15</v>
      </c>
      <c r="BJ56" s="1141" t="s">
        <v>1836</v>
      </c>
      <c r="BL56" s="1141" t="s">
        <v>1836</v>
      </c>
    </row>
    <row r="57" spans="1:64" ht="11.25" customHeight="1">
      <c r="A57" s="1001" t="s">
        <v>1887</v>
      </c>
      <c r="D57" s="1043" t="s">
        <v>1888</v>
      </c>
      <c r="E57" s="1021" t="s">
        <v>115</v>
      </c>
      <c r="F57" s="1001" t="s">
        <v>1885</v>
      </c>
      <c r="AX57" s="1044" t="s">
        <v>1889</v>
      </c>
      <c r="AZ57" s="1044" t="s">
        <v>1491</v>
      </c>
      <c r="BE57" s="1044">
        <v>2055</v>
      </c>
      <c r="BJ57" s="1141" t="s">
        <v>1845</v>
      </c>
      <c r="BL57" s="1141" t="s">
        <v>1845</v>
      </c>
    </row>
    <row r="58" spans="1:64" ht="11.25" customHeight="1">
      <c r="A58" s="1001" t="s">
        <v>1890</v>
      </c>
      <c r="D58" s="1043" t="s">
        <v>1891</v>
      </c>
      <c r="E58" s="1021" t="s">
        <v>115</v>
      </c>
      <c r="F58" s="1001" t="s">
        <v>1885</v>
      </c>
      <c r="AX58" s="1044" t="s">
        <v>1892</v>
      </c>
      <c r="BE58" s="1044">
        <v>2056</v>
      </c>
      <c r="BJ58" s="1141" t="s">
        <v>1849</v>
      </c>
      <c r="BL58" s="1141" t="s">
        <v>1849</v>
      </c>
    </row>
    <row r="59" spans="1:64" ht="11.25" customHeight="1">
      <c r="A59" s="1001" t="s">
        <v>1893</v>
      </c>
      <c r="D59" s="1043" t="s">
        <v>203</v>
      </c>
      <c r="E59" s="1021" t="s">
        <v>1782</v>
      </c>
      <c r="F59" s="1001" t="s">
        <v>1894</v>
      </c>
      <c r="AX59" s="1044" t="s">
        <v>1895</v>
      </c>
      <c r="AZ59" s="994" t="s">
        <v>1896</v>
      </c>
      <c r="BE59" s="1044">
        <v>2057</v>
      </c>
      <c r="BJ59" s="1141" t="s">
        <v>1852</v>
      </c>
      <c r="BL59" s="1141" t="s">
        <v>1852</v>
      </c>
    </row>
    <row r="60" spans="1:64" ht="11.25" customHeight="1">
      <c r="A60" s="1001" t="s">
        <v>1897</v>
      </c>
      <c r="D60" s="1043" t="s">
        <v>1898</v>
      </c>
      <c r="E60" s="1021" t="s">
        <v>1782</v>
      </c>
      <c r="F60" s="1001" t="s">
        <v>1894</v>
      </c>
      <c r="AX60" s="1044" t="s">
        <v>108</v>
      </c>
      <c r="AZ60" s="1044" t="s">
        <v>1432</v>
      </c>
      <c r="BE60" s="1044">
        <v>2058</v>
      </c>
      <c r="BJ60" s="1141" t="s">
        <v>1858</v>
      </c>
      <c r="BL60" s="1141" t="s">
        <v>1858</v>
      </c>
    </row>
    <row r="61" spans="1:64" ht="11.25" customHeight="1">
      <c r="A61" s="1001" t="s">
        <v>1899</v>
      </c>
      <c r="D61" s="1043" t="s">
        <v>1900</v>
      </c>
      <c r="E61" s="1021" t="s">
        <v>1901</v>
      </c>
      <c r="F61" s="1001" t="s">
        <v>1894</v>
      </c>
      <c r="AX61" s="1044" t="s">
        <v>1902</v>
      </c>
      <c r="AZ61" s="1044" t="s">
        <v>1458</v>
      </c>
      <c r="BE61" s="1044">
        <v>2059</v>
      </c>
      <c r="BL61" s="1141" t="s">
        <v>1249</v>
      </c>
    </row>
    <row r="62" spans="1:64" ht="11.25" customHeight="1">
      <c r="A62" s="1001" t="s">
        <v>1903</v>
      </c>
      <c r="D62" s="1043" t="s">
        <v>202</v>
      </c>
      <c r="E62" s="1021">
        <v>73</v>
      </c>
      <c r="F62" s="1001" t="s">
        <v>1894</v>
      </c>
      <c r="AZ62" s="1044" t="s">
        <v>1492</v>
      </c>
      <c r="BE62" s="1044">
        <v>2060</v>
      </c>
      <c r="BL62" s="1141" t="s">
        <v>1251</v>
      </c>
    </row>
    <row r="63" spans="1:64" ht="11.25" customHeight="1">
      <c r="A63" s="1001" t="s">
        <v>1904</v>
      </c>
      <c r="D63" s="1043" t="s">
        <v>1905</v>
      </c>
      <c r="E63" s="1021">
        <v>96</v>
      </c>
      <c r="F63" s="1001" t="s">
        <v>1894</v>
      </c>
      <c r="AZ63" s="1044" t="s">
        <v>1524</v>
      </c>
      <c r="BE63" s="1044">
        <v>2061</v>
      </c>
    </row>
    <row r="64" spans="1:64" ht="11.25" customHeight="1">
      <c r="A64" s="1001" t="s">
        <v>1906</v>
      </c>
      <c r="D64" s="1043" t="s">
        <v>1907</v>
      </c>
      <c r="E64" s="1021">
        <v>96</v>
      </c>
      <c r="F64" s="1001" t="s">
        <v>1894</v>
      </c>
      <c r="AZ64" s="1044" t="s">
        <v>1547</v>
      </c>
      <c r="BE64" s="1044">
        <v>2062</v>
      </c>
    </row>
    <row r="65" spans="1:66" ht="11.25" customHeight="1">
      <c r="A65" s="1001" t="s">
        <v>1908</v>
      </c>
      <c r="D65" s="1001"/>
      <c r="BE65" s="1044">
        <v>2063</v>
      </c>
    </row>
    <row r="66" spans="1:66" ht="11.25" customHeight="1">
      <c r="A66" s="1001" t="s">
        <v>1909</v>
      </c>
      <c r="AZ66" s="994" t="s">
        <v>1910</v>
      </c>
      <c r="BE66" s="1044">
        <v>2064</v>
      </c>
    </row>
    <row r="67" spans="1:66" ht="11.25" customHeight="1">
      <c r="A67" s="1001" t="s">
        <v>1911</v>
      </c>
      <c r="AZ67" s="1044" t="s">
        <v>1433</v>
      </c>
      <c r="BE67" s="1044">
        <v>2065</v>
      </c>
    </row>
    <row r="68" spans="1:66" ht="11.25" customHeight="1">
      <c r="A68" s="1001" t="s">
        <v>1912</v>
      </c>
      <c r="AZ68" s="1044" t="s">
        <v>1459</v>
      </c>
      <c r="BE68" s="1044">
        <v>2066</v>
      </c>
      <c r="BH68" s="994" t="s">
        <v>1913</v>
      </c>
      <c r="BJ68" s="994" t="s">
        <v>1914</v>
      </c>
      <c r="BL68" s="994" t="s">
        <v>1915</v>
      </c>
      <c r="BN68" s="994" t="s">
        <v>1916</v>
      </c>
    </row>
    <row r="69" spans="1:66" ht="11.25" customHeight="1">
      <c r="A69" s="1001" t="s">
        <v>1917</v>
      </c>
      <c r="AZ69" s="1044" t="s">
        <v>1493</v>
      </c>
      <c r="BE69" s="1044">
        <v>2067</v>
      </c>
      <c r="BH69" s="995" t="s">
        <v>1918</v>
      </c>
      <c r="BI69" s="1042" t="s">
        <v>184</v>
      </c>
      <c r="BJ69" s="995" t="s">
        <v>1919</v>
      </c>
      <c r="BK69" s="1042" t="s">
        <v>184</v>
      </c>
      <c r="BL69" s="995" t="s">
        <v>1920</v>
      </c>
      <c r="BM69" s="997" t="s">
        <v>184</v>
      </c>
      <c r="BN69" s="995" t="s">
        <v>1921</v>
      </c>
    </row>
    <row r="70" spans="1:66" ht="11.25" customHeight="1">
      <c r="A70" s="1001" t="s">
        <v>1922</v>
      </c>
      <c r="AZ70" s="1044" t="s">
        <v>1525</v>
      </c>
      <c r="BE70" s="1044">
        <v>2068</v>
      </c>
      <c r="BH70" s="995" t="s">
        <v>1923</v>
      </c>
      <c r="BJ70" s="995" t="s">
        <v>1924</v>
      </c>
      <c r="BL70" s="995" t="s">
        <v>1925</v>
      </c>
      <c r="BN70" s="995" t="s">
        <v>1926</v>
      </c>
    </row>
    <row r="71" spans="1:66" ht="11.25" customHeight="1">
      <c r="A71" s="1001" t="s">
        <v>1927</v>
      </c>
      <c r="AZ71" s="1044" t="s">
        <v>1527</v>
      </c>
      <c r="BE71" s="1044">
        <v>2069</v>
      </c>
      <c r="BH71" s="995" t="s">
        <v>1928</v>
      </c>
      <c r="BI71" s="1042" t="s">
        <v>77</v>
      </c>
      <c r="BJ71" s="995" t="s">
        <v>1929</v>
      </c>
      <c r="BK71" s="1042" t="s">
        <v>77</v>
      </c>
      <c r="BL71" s="995" t="s">
        <v>1930</v>
      </c>
      <c r="BM71" s="997" t="s">
        <v>77</v>
      </c>
      <c r="BN71" s="995" t="s">
        <v>1931</v>
      </c>
    </row>
    <row r="72" spans="1:66" ht="11.25" customHeight="1">
      <c r="A72" s="1001" t="s">
        <v>1932</v>
      </c>
      <c r="AZ72" s="1044" t="s">
        <v>6</v>
      </c>
      <c r="BE72" s="1044">
        <v>2070</v>
      </c>
      <c r="BH72" s="995" t="s">
        <v>1933</v>
      </c>
      <c r="BJ72" s="995" t="s">
        <v>1933</v>
      </c>
      <c r="BL72" s="995" t="s">
        <v>1933</v>
      </c>
      <c r="BN72" s="995" t="s">
        <v>1934</v>
      </c>
    </row>
    <row r="73" spans="1:66" ht="11.25" customHeight="1">
      <c r="A73" s="1001" t="s">
        <v>1935</v>
      </c>
      <c r="BH73" s="995" t="s">
        <v>1936</v>
      </c>
      <c r="BI73" s="1042" t="s">
        <v>115</v>
      </c>
      <c r="BJ73" s="995" t="s">
        <v>1937</v>
      </c>
      <c r="BK73" s="1042" t="s">
        <v>115</v>
      </c>
      <c r="BL73" s="995" t="s">
        <v>1938</v>
      </c>
      <c r="BM73" s="997" t="s">
        <v>115</v>
      </c>
      <c r="BN73" s="995" t="s">
        <v>1939</v>
      </c>
    </row>
    <row r="74" spans="1:66" ht="11.25" customHeight="1">
      <c r="A74" s="1001" t="s">
        <v>3</v>
      </c>
      <c r="BH74" s="995" t="s">
        <v>1940</v>
      </c>
      <c r="BJ74" s="995" t="s">
        <v>1941</v>
      </c>
      <c r="BL74" s="995" t="s">
        <v>1942</v>
      </c>
      <c r="BN74" s="995" t="s">
        <v>1943</v>
      </c>
    </row>
    <row r="75" spans="1:66" ht="11.25" customHeight="1">
      <c r="A75" s="1001" t="s">
        <v>1944</v>
      </c>
      <c r="AZ75" s="994" t="s">
        <v>1945</v>
      </c>
      <c r="BH75" s="995" t="s">
        <v>1946</v>
      </c>
      <c r="BJ75" s="995" t="s">
        <v>1946</v>
      </c>
      <c r="BL75" s="995" t="s">
        <v>1946</v>
      </c>
    </row>
    <row r="76" spans="1:66" ht="11.25" customHeight="1">
      <c r="A76" s="1001" t="s">
        <v>1947</v>
      </c>
      <c r="AZ76" s="1044" t="s">
        <v>1442</v>
      </c>
      <c r="BH76" s="995" t="s">
        <v>1948</v>
      </c>
      <c r="BJ76" s="995" t="s">
        <v>1949</v>
      </c>
      <c r="BL76" s="995" t="s">
        <v>1950</v>
      </c>
    </row>
    <row r="77" spans="1:66" ht="11.25" customHeight="1">
      <c r="A77" s="1001" t="s">
        <v>1951</v>
      </c>
      <c r="AZ77" s="1044" t="s">
        <v>1468</v>
      </c>
    </row>
    <row r="78" spans="1:66" ht="11.25" customHeight="1">
      <c r="A78" s="1001" t="s">
        <v>1952</v>
      </c>
      <c r="AZ78" s="1044" t="s">
        <v>1500</v>
      </c>
    </row>
    <row r="79" spans="1:66" ht="11.25" customHeight="1">
      <c r="A79" s="1001" t="s">
        <v>1953</v>
      </c>
      <c r="AZ79" s="1044" t="s">
        <v>1531</v>
      </c>
      <c r="BH79" s="994" t="s">
        <v>1954</v>
      </c>
      <c r="BJ79" s="994" t="s">
        <v>1955</v>
      </c>
      <c r="BL79" s="994" t="s">
        <v>1956</v>
      </c>
    </row>
    <row r="80" spans="1:66" ht="11.25" customHeight="1">
      <c r="A80" s="1001" t="s">
        <v>1957</v>
      </c>
      <c r="AZ80" s="1044" t="s">
        <v>1552</v>
      </c>
      <c r="BH80" s="995" t="s">
        <v>1958</v>
      </c>
      <c r="BJ80" s="995" t="s">
        <v>1959</v>
      </c>
      <c r="BL80" s="995" t="s">
        <v>1960</v>
      </c>
    </row>
    <row r="81" spans="1:66" ht="11.25" customHeight="1">
      <c r="A81" s="1001" t="s">
        <v>1961</v>
      </c>
      <c r="AZ81" s="1044" t="s">
        <v>1569</v>
      </c>
      <c r="BH81" s="995" t="s">
        <v>1962</v>
      </c>
      <c r="BJ81" s="995" t="s">
        <v>1963</v>
      </c>
      <c r="BL81" s="995" t="s">
        <v>1964</v>
      </c>
    </row>
    <row r="82" spans="1:66" ht="11.25" customHeight="1">
      <c r="A82" s="1001" t="s">
        <v>1965</v>
      </c>
      <c r="AZ82" s="1044" t="s">
        <v>1584</v>
      </c>
      <c r="BH82" s="995" t="s">
        <v>1966</v>
      </c>
      <c r="BJ82" s="995" t="s">
        <v>1967</v>
      </c>
      <c r="BL82" s="995" t="s">
        <v>1968</v>
      </c>
    </row>
    <row r="83" spans="1:66" ht="11.25" customHeight="1">
      <c r="A83" s="1001" t="s">
        <v>1969</v>
      </c>
      <c r="BH83" s="995" t="s">
        <v>1970</v>
      </c>
      <c r="BJ83" s="995" t="s">
        <v>1971</v>
      </c>
      <c r="BL83" s="995" t="s">
        <v>1972</v>
      </c>
    </row>
    <row r="84" spans="1:66" ht="11.25" customHeight="1">
      <c r="A84" s="1001" t="s">
        <v>1973</v>
      </c>
      <c r="AZ84" s="994" t="s">
        <v>1974</v>
      </c>
    </row>
    <row r="85" spans="1:66" ht="11.25" customHeight="1">
      <c r="A85" s="1765" t="s">
        <v>1975</v>
      </c>
      <c r="AZ85" s="1044" t="s">
        <v>1976</v>
      </c>
    </row>
    <row r="86" spans="1:66" ht="11.25" customHeight="1">
      <c r="A86" s="1001" t="s">
        <v>1977</v>
      </c>
      <c r="AZ86" s="1044" t="s">
        <v>1978</v>
      </c>
      <c r="BH86" s="994" t="s">
        <v>1979</v>
      </c>
      <c r="BJ86" s="994" t="s">
        <v>1980</v>
      </c>
      <c r="BL86" s="994" t="s">
        <v>1981</v>
      </c>
    </row>
    <row r="87" spans="1:66" ht="11.25" customHeight="1">
      <c r="A87" s="1001" t="s">
        <v>1982</v>
      </c>
      <c r="AZ87" s="1044" t="s">
        <v>1983</v>
      </c>
      <c r="BH87" s="995" t="s">
        <v>1984</v>
      </c>
      <c r="BJ87" s="995" t="s">
        <v>1985</v>
      </c>
      <c r="BL87" s="995" t="s">
        <v>1986</v>
      </c>
    </row>
    <row r="88" spans="1:66" ht="11.25" customHeight="1">
      <c r="A88" s="1001" t="s">
        <v>1987</v>
      </c>
      <c r="AZ88" s="1530"/>
      <c r="BH88" s="995" t="s">
        <v>1988</v>
      </c>
      <c r="BJ88" s="995" t="s">
        <v>1989</v>
      </c>
      <c r="BL88" s="995" t="s">
        <v>1990</v>
      </c>
    </row>
    <row r="89" spans="1:66" ht="11.25" customHeight="1">
      <c r="A89" s="1001" t="s">
        <v>1991</v>
      </c>
      <c r="AZ89" s="994" t="s">
        <v>1992</v>
      </c>
    </row>
    <row r="90" spans="1:66" ht="11.25" customHeight="1">
      <c r="A90" s="1001" t="s">
        <v>1993</v>
      </c>
      <c r="AZ90" s="1044" t="s">
        <v>1227</v>
      </c>
    </row>
    <row r="91" spans="1:66" ht="11.25" customHeight="1">
      <c r="A91" s="1001" t="s">
        <v>1994</v>
      </c>
      <c r="AZ91" s="1044" t="s">
        <v>1263</v>
      </c>
      <c r="BH91" s="994" t="s">
        <v>1995</v>
      </c>
      <c r="BJ91" s="994" t="s">
        <v>1996</v>
      </c>
      <c r="BL91" s="994" t="s">
        <v>1997</v>
      </c>
    </row>
    <row r="92" spans="1:66" ht="11.25" customHeight="1">
      <c r="AZ92" s="1044" t="s">
        <v>1998</v>
      </c>
      <c r="BH92" s="995" t="s">
        <v>1999</v>
      </c>
      <c r="BJ92" s="995" t="s">
        <v>2000</v>
      </c>
      <c r="BL92" s="995" t="s">
        <v>2001</v>
      </c>
    </row>
    <row r="93" spans="1:66" ht="11.25" customHeight="1">
      <c r="AZ93" s="1044" t="s">
        <v>2002</v>
      </c>
      <c r="BH93" s="995" t="s">
        <v>2003</v>
      </c>
      <c r="BJ93" s="995" t="s">
        <v>2004</v>
      </c>
      <c r="BL93" s="995" t="s">
        <v>2005</v>
      </c>
    </row>
    <row r="94" spans="1:66" ht="11.25" customHeight="1">
      <c r="AZ94" s="1044" t="s">
        <v>2006</v>
      </c>
    </row>
    <row r="96" spans="1:66" ht="11.25" customHeight="1">
      <c r="AZ96" s="994" t="s">
        <v>2007</v>
      </c>
      <c r="BH96" s="994" t="s">
        <v>2008</v>
      </c>
      <c r="BJ96" s="994" t="s">
        <v>2009</v>
      </c>
      <c r="BL96" s="994" t="s">
        <v>2010</v>
      </c>
      <c r="BN96" s="994" t="s">
        <v>2011</v>
      </c>
    </row>
    <row r="97" spans="52:66" ht="11.25" customHeight="1">
      <c r="AZ97" s="1796" t="s">
        <v>2012</v>
      </c>
      <c r="BA97" s="1797" t="s">
        <v>2013</v>
      </c>
      <c r="BH97" s="995" t="s">
        <v>2014</v>
      </c>
      <c r="BJ97" s="995" t="s">
        <v>2015</v>
      </c>
      <c r="BL97" s="995" t="s">
        <v>2016</v>
      </c>
      <c r="BN97" s="995" t="s">
        <v>2017</v>
      </c>
    </row>
    <row r="98" spans="52:66" ht="11.25" customHeight="1">
      <c r="AZ98" s="1796" t="s">
        <v>2018</v>
      </c>
      <c r="BA98" s="1797" t="s">
        <v>2019</v>
      </c>
      <c r="BH98" s="995" t="s">
        <v>2020</v>
      </c>
      <c r="BJ98" s="995" t="s">
        <v>2021</v>
      </c>
      <c r="BL98" s="995" t="s">
        <v>2022</v>
      </c>
      <c r="BN98" s="995" t="s">
        <v>2023</v>
      </c>
    </row>
    <row r="99" spans="52:66" ht="22.5" customHeight="1">
      <c r="AZ99" s="1796" t="s">
        <v>2024</v>
      </c>
      <c r="BA99" s="179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5" t="s">
        <v>2025</v>
      </c>
      <c r="BJ99" s="995" t="s">
        <v>2026</v>
      </c>
      <c r="BL99" s="995" t="s">
        <v>2027</v>
      </c>
      <c r="BN99" s="995" t="s">
        <v>2028</v>
      </c>
    </row>
    <row r="100" spans="52:66" ht="22.5" customHeight="1">
      <c r="AZ100" s="1796" t="s">
        <v>2029</v>
      </c>
      <c r="BA100" s="179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5" t="s">
        <v>1630</v>
      </c>
      <c r="BL100" s="995" t="s">
        <v>1630</v>
      </c>
      <c r="BN100" s="995" t="s">
        <v>2030</v>
      </c>
    </row>
    <row r="101" spans="52:66" ht="22.5" customHeight="1">
      <c r="AZ101" s="1796" t="s">
        <v>2031</v>
      </c>
      <c r="BA101" s="1797" t="s">
        <v>2032</v>
      </c>
      <c r="BN101" s="995" t="s">
        <v>2033</v>
      </c>
    </row>
    <row r="102" spans="52:66" ht="22.5" customHeight="1">
      <c r="AZ102" s="1796" t="s">
        <v>2034</v>
      </c>
      <c r="BA102" s="179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5" t="s">
        <v>2035</v>
      </c>
    </row>
    <row r="103" spans="52:66" ht="11.25" customHeight="1">
      <c r="AZ103" s="1796" t="s">
        <v>2036</v>
      </c>
      <c r="BA103" s="1797" t="s">
        <v>2037</v>
      </c>
      <c r="BN103" s="995" t="s">
        <v>2038</v>
      </c>
    </row>
    <row r="104" spans="52:66" ht="11.25" customHeight="1">
      <c r="BN104" s="995" t="s">
        <v>2039</v>
      </c>
    </row>
    <row r="105" spans="52:66" ht="11.25" customHeight="1">
      <c r="AZ105" s="1616" t="s">
        <v>2040</v>
      </c>
    </row>
    <row r="106" spans="52:66" ht="11.25" customHeight="1">
      <c r="AZ106" s="1044" t="s">
        <v>2041</v>
      </c>
    </row>
    <row r="107" spans="52:66" ht="11.25" customHeight="1">
      <c r="AZ107" s="1044" t="s">
        <v>2042</v>
      </c>
      <c r="BH107" s="994" t="s">
        <v>2043</v>
      </c>
      <c r="BJ107" s="994" t="s">
        <v>2044</v>
      </c>
      <c r="BL107" s="994" t="s">
        <v>2045</v>
      </c>
      <c r="BN107" s="994" t="s">
        <v>2046</v>
      </c>
    </row>
    <row r="108" spans="52:66" ht="11.25" customHeight="1">
      <c r="AZ108" s="1044" t="s">
        <v>780</v>
      </c>
      <c r="BH108" s="995" t="s">
        <v>2047</v>
      </c>
      <c r="BJ108" s="995" t="s">
        <v>2048</v>
      </c>
      <c r="BL108" s="995" t="s">
        <v>1712</v>
      </c>
      <c r="BN108" s="995" t="s">
        <v>2049</v>
      </c>
    </row>
    <row r="109" spans="52:66" ht="11.25" customHeight="1">
      <c r="BH109" s="995" t="s">
        <v>2050</v>
      </c>
    </row>
    <row r="110" spans="52:66" ht="11.25" customHeight="1">
      <c r="AZ110" s="1616" t="s">
        <v>2051</v>
      </c>
      <c r="BH110" s="995" t="s">
        <v>2050</v>
      </c>
    </row>
    <row r="111" spans="52:66" ht="11.25" customHeight="1">
      <c r="AZ111" s="1796" t="s">
        <v>2012</v>
      </c>
      <c r="BA111" s="1797" t="s">
        <v>2013</v>
      </c>
    </row>
    <row r="112" spans="52:66" ht="11.25" customHeight="1">
      <c r="AZ112" s="1796" t="s">
        <v>2018</v>
      </c>
      <c r="BA112" s="1797" t="s">
        <v>2019</v>
      </c>
    </row>
    <row r="113" spans="52:60" ht="22.5" customHeight="1">
      <c r="AZ113" s="1796" t="s">
        <v>2024</v>
      </c>
      <c r="BA113" s="179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6" t="s">
        <v>2029</v>
      </c>
      <c r="BA114" s="179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4" t="s">
        <v>2052</v>
      </c>
    </row>
    <row r="115" spans="52:60" ht="22.5" customHeight="1">
      <c r="AZ115" s="1796" t="s">
        <v>2034</v>
      </c>
      <c r="BA115" s="179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5" t="s">
        <v>654</v>
      </c>
    </row>
    <row r="116" spans="52:60" ht="11.25" customHeight="1">
      <c r="AZ116" s="1796" t="s">
        <v>2036</v>
      </c>
      <c r="BA116" s="1797" t="s">
        <v>2037</v>
      </c>
      <c r="BH116" s="995" t="s">
        <v>1455</v>
      </c>
    </row>
    <row r="117" spans="52:60" ht="11.25" customHeight="1">
      <c r="BH117" s="995" t="s">
        <v>1489</v>
      </c>
    </row>
    <row r="118" spans="52:60" ht="11.25" customHeight="1">
      <c r="BH118" s="995" t="s">
        <v>1522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5" hidden="1" customWidth="1"/>
    <col min="3" max="3" width="3" style="389" customWidth="1"/>
    <col min="4" max="4" width="6" style="390" customWidth="1"/>
    <col min="5" max="5" width="52" style="389" customWidth="1"/>
    <col min="6" max="6" width="48" style="389" customWidth="1"/>
    <col min="7" max="7" width="93" style="389" customWidth="1"/>
    <col min="8" max="8" width="8" style="389" customWidth="1"/>
    <col min="9" max="9" width="64" style="389" customWidth="1"/>
    <col min="10" max="10" width="9.140625" style="389" hidden="1"/>
  </cols>
  <sheetData>
    <row r="1" spans="1:10" ht="11.25" hidden="1" customHeight="1">
      <c r="A1" s="435" t="s">
        <v>507</v>
      </c>
      <c r="J1" s="389" t="s">
        <v>1</v>
      </c>
    </row>
    <row r="2" spans="1:10" ht="22.5" hidden="1" customHeight="1">
      <c r="A2" s="436"/>
      <c r="B2" s="436"/>
      <c r="C2" s="1626" t="s">
        <v>90</v>
      </c>
      <c r="D2" s="1444"/>
      <c r="E2" s="1450"/>
      <c r="F2" s="1473"/>
      <c r="H2" s="409"/>
      <c r="J2" s="389">
        <v>0</v>
      </c>
    </row>
    <row r="3" spans="1:10" ht="11.25" hidden="1" customHeight="1">
      <c r="J3" s="389">
        <v>0</v>
      </c>
    </row>
    <row r="4" spans="1:10" ht="11.45" customHeight="1">
      <c r="A4" s="1474"/>
      <c r="B4" s="1474"/>
      <c r="J4" s="389">
        <v>11</v>
      </c>
    </row>
    <row r="5" spans="1:10" ht="27.4" customHeight="1">
      <c r="D5" s="388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883"/>
      <c r="F5" s="3884"/>
      <c r="I5" s="649"/>
      <c r="J5" s="389">
        <v>26</v>
      </c>
    </row>
    <row r="6" spans="1:10" ht="18" customHeight="1">
      <c r="D6" s="3987" t="str">
        <f>IF(region_name=0,"Не определено",region_name)</f>
        <v>Смоленская область</v>
      </c>
      <c r="E6" s="3987"/>
      <c r="F6" s="3987"/>
      <c r="I6" s="649"/>
      <c r="J6" s="389">
        <v>17</v>
      </c>
    </row>
    <row r="7" spans="1:10" s="411" customFormat="1" ht="11.45" customHeight="1">
      <c r="A7" s="435"/>
      <c r="B7" s="435"/>
      <c r="D7" s="648"/>
      <c r="E7" s="648"/>
      <c r="F7" s="686"/>
      <c r="G7" s="648"/>
      <c r="J7" s="411">
        <v>11</v>
      </c>
    </row>
    <row r="8" spans="1:10" ht="11.25" hidden="1" customHeight="1">
      <c r="A8" s="436"/>
      <c r="B8" s="436"/>
      <c r="C8" s="391"/>
      <c r="D8" s="397"/>
      <c r="E8" s="3993"/>
      <c r="F8" s="3993"/>
      <c r="J8" s="389">
        <v>0</v>
      </c>
    </row>
    <row r="9" spans="1:10" ht="11.45" customHeight="1">
      <c r="A9" s="436"/>
      <c r="B9" s="436"/>
      <c r="C9" s="391"/>
      <c r="D9" s="3990" t="s">
        <v>508</v>
      </c>
      <c r="E9" s="3991"/>
      <c r="F9" s="3991"/>
      <c r="G9" s="3994" t="s">
        <v>509</v>
      </c>
      <c r="J9" s="389">
        <v>11</v>
      </c>
    </row>
    <row r="10" spans="1:10" ht="11.45" customHeight="1">
      <c r="A10" s="436"/>
      <c r="B10" s="436"/>
      <c r="C10" s="391"/>
      <c r="D10" s="1398" t="s">
        <v>75</v>
      </c>
      <c r="E10" s="1400" t="s">
        <v>510</v>
      </c>
      <c r="F10" s="1400" t="s">
        <v>511</v>
      </c>
      <c r="G10" s="3995"/>
      <c r="J10" s="389">
        <v>11</v>
      </c>
    </row>
    <row r="11" spans="1:10" ht="1.1499999999999999" customHeight="1">
      <c r="A11" s="436"/>
      <c r="B11" s="436"/>
      <c r="C11" s="391"/>
      <c r="D11" s="398"/>
      <c r="E11" s="398"/>
      <c r="F11" s="398"/>
      <c r="G11" s="398"/>
      <c r="J11" s="389">
        <v>1</v>
      </c>
    </row>
    <row r="12" spans="1:10" ht="24" customHeight="1">
      <c r="A12" s="436"/>
      <c r="B12" s="436"/>
      <c r="C12" s="391"/>
      <c r="D12" s="1444">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03" t="str">
        <f>IF(org="","",org)</f>
        <v>ООО "Смоленскрегионтеплоэнерго"</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7"/>
      <c r="J12" s="389">
        <v>23</v>
      </c>
    </row>
    <row r="13" spans="1:10" ht="19.899999999999999" customHeight="1">
      <c r="A13" s="436"/>
      <c r="B13" s="436"/>
      <c r="C13" s="391"/>
      <c r="D13" s="1444">
        <v>2</v>
      </c>
      <c r="E13" s="1451" t="s">
        <v>2053</v>
      </c>
      <c r="F13" s="1445" t="s">
        <v>514</v>
      </c>
      <c r="G13" s="408"/>
      <c r="H13" s="1457"/>
      <c r="J13" s="389">
        <v>19</v>
      </c>
    </row>
    <row r="14" spans="1:10" ht="19.899999999999999" customHeight="1">
      <c r="A14" s="436"/>
      <c r="B14" s="436"/>
      <c r="C14" s="391"/>
      <c r="D14" s="1447" t="s">
        <v>917</v>
      </c>
      <c r="E14" s="1448" t="s">
        <v>2054</v>
      </c>
      <c r="F14" s="1450"/>
      <c r="G14" s="1449" t="s">
        <v>2055</v>
      </c>
      <c r="H14" s="1457"/>
      <c r="J14" s="389">
        <v>19</v>
      </c>
    </row>
    <row r="15" spans="1:10" ht="19.899999999999999" customHeight="1">
      <c r="A15" s="436"/>
      <c r="B15" s="436"/>
      <c r="C15" s="391"/>
      <c r="D15" s="1447" t="s">
        <v>515</v>
      </c>
      <c r="E15" s="1448" t="s">
        <v>2056</v>
      </c>
      <c r="F15" s="1450"/>
      <c r="G15" s="1449" t="s">
        <v>2057</v>
      </c>
      <c r="H15" s="1457"/>
      <c r="J15" s="389">
        <v>19</v>
      </c>
    </row>
    <row r="16" spans="1:10" ht="24" customHeight="1">
      <c r="A16" s="436"/>
      <c r="B16" s="436"/>
      <c r="C16" s="391"/>
      <c r="D16" s="1447" t="s">
        <v>518</v>
      </c>
      <c r="E16" s="1446" t="s">
        <v>2058</v>
      </c>
      <c r="F16" s="1455"/>
      <c r="G16" s="408" t="s">
        <v>2059</v>
      </c>
      <c r="H16" s="1457"/>
      <c r="J16" s="389">
        <v>23</v>
      </c>
    </row>
    <row r="17" spans="1:10" ht="48.2" customHeight="1">
      <c r="A17" s="436"/>
      <c r="B17" s="436"/>
      <c r="C17" s="391"/>
      <c r="D17" s="1444">
        <v>3</v>
      </c>
      <c r="E17" s="1451" t="s">
        <v>2060</v>
      </c>
      <c r="F17" s="1450"/>
      <c r="G17" s="408" t="s">
        <v>2061</v>
      </c>
      <c r="H17" s="1457"/>
      <c r="J17" s="389">
        <v>46</v>
      </c>
    </row>
    <row r="18" spans="1:10" ht="48.2" customHeight="1">
      <c r="A18" s="1399">
        <v>1</v>
      </c>
      <c r="B18" s="436"/>
      <c r="C18" s="1401"/>
      <c r="D18" s="1444" t="s">
        <v>78</v>
      </c>
      <c r="E18" s="1451" t="s">
        <v>2062</v>
      </c>
      <c r="F18" s="1450"/>
      <c r="G18" s="408" t="s">
        <v>2061</v>
      </c>
      <c r="H18" s="1457"/>
      <c r="I18" s="780"/>
      <c r="J18" s="389">
        <v>46</v>
      </c>
    </row>
    <row r="19" spans="1:10" ht="23.25" customHeight="1">
      <c r="A19" s="436"/>
      <c r="B19" s="436"/>
      <c r="C19" s="391"/>
      <c r="D19" s="1444" t="s">
        <v>115</v>
      </c>
      <c r="E19" s="1451" t="s">
        <v>2063</v>
      </c>
      <c r="F19" s="1445" t="s">
        <v>514</v>
      </c>
      <c r="G19" s="4197" t="s">
        <v>2064</v>
      </c>
      <c r="H19" s="409"/>
      <c r="J19" s="389">
        <v>22</v>
      </c>
    </row>
    <row r="20" spans="1:10" s="1454" customFormat="1" ht="5.25" hidden="1" customHeight="1">
      <c r="A20" s="436"/>
      <c r="B20" s="436"/>
      <c r="C20" s="1453"/>
      <c r="D20" s="1452" t="s">
        <v>1324</v>
      </c>
      <c r="E20" s="941"/>
      <c r="F20" s="940"/>
      <c r="G20" s="4198"/>
      <c r="J20" s="1454">
        <v>0</v>
      </c>
    </row>
    <row r="21" spans="1:10" ht="15.75" customHeight="1">
      <c r="A21" s="436"/>
      <c r="B21" s="436"/>
      <c r="C21" s="391"/>
      <c r="D21" s="401"/>
      <c r="E21" s="349" t="s">
        <v>547</v>
      </c>
      <c r="F21" s="403"/>
      <c r="G21" s="4199"/>
      <c r="H21" s="1457"/>
      <c r="J21" s="389">
        <v>15</v>
      </c>
    </row>
    <row r="22" spans="1:10" s="435" customFormat="1" ht="26.25" customHeight="1">
      <c r="A22" s="436"/>
      <c r="B22" s="436"/>
      <c r="C22" s="436"/>
      <c r="D22" s="1444" t="s">
        <v>79</v>
      </c>
      <c r="E22" s="408" t="s">
        <v>2065</v>
      </c>
      <c r="F22" s="1450"/>
      <c r="G22" s="408" t="s">
        <v>2066</v>
      </c>
      <c r="H22" s="1456"/>
      <c r="J22" s="435">
        <v>25</v>
      </c>
    </row>
    <row r="23" spans="1:10" s="435" customFormat="1" ht="19.899999999999999" customHeight="1">
      <c r="A23" s="436"/>
      <c r="B23" s="436"/>
      <c r="C23" s="436"/>
      <c r="D23" s="1444" t="s">
        <v>80</v>
      </c>
      <c r="E23" s="1451" t="s">
        <v>2067</v>
      </c>
      <c r="F23" s="1455"/>
      <c r="G23" s="408" t="s">
        <v>2068</v>
      </c>
      <c r="H23" s="1456"/>
      <c r="J23" s="435">
        <v>19</v>
      </c>
    </row>
    <row r="24" spans="1:10" s="435" customFormat="1" ht="144" hidden="1" customHeight="1">
      <c r="A24" s="436"/>
      <c r="B24" s="436"/>
      <c r="C24" s="436"/>
      <c r="D24" s="1444" t="s">
        <v>134</v>
      </c>
      <c r="E24" s="179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93"/>
      <c r="G24" s="179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6"/>
      <c r="J24" s="435">
        <v>0</v>
      </c>
    </row>
    <row r="25" spans="1:10" ht="11.25" hidden="1" customHeight="1">
      <c r="A25" s="435" t="s">
        <v>69</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37" customWidth="1"/>
    <col min="5" max="5" width="6" style="1559" customWidth="1"/>
    <col min="6" max="6" width="46" style="1559" customWidth="1"/>
    <col min="7" max="8" width="16" style="1559" customWidth="1"/>
    <col min="9" max="9" width="35" style="1559" customWidth="1"/>
    <col min="10" max="10" width="89" style="1559" customWidth="1"/>
    <col min="11" max="11" width="3" style="1548" customWidth="1"/>
    <col min="12" max="14" width="8" style="1548" customWidth="1"/>
    <col min="15" max="15" width="25" style="1548" customWidth="1"/>
    <col min="16" max="16" width="14" style="1548" customWidth="1"/>
    <col min="17" max="20" width="8" style="160" customWidth="1"/>
    <col min="21" max="254" width="8" style="1559" customWidth="1"/>
    <col min="255" max="255" width="9.140625" style="1559" hidden="1"/>
  </cols>
  <sheetData>
    <row r="1" spans="1:255" ht="22.5" hidden="1" customHeight="1">
      <c r="F1" s="1555" t="s">
        <v>2069</v>
      </c>
      <c r="G1" s="1555" t="s">
        <v>35</v>
      </c>
      <c r="H1" s="1555" t="s">
        <v>37</v>
      </c>
      <c r="IU1" s="1079" t="s">
        <v>1</v>
      </c>
    </row>
    <row r="2" spans="1:255" s="1745" customFormat="1" ht="22.5" hidden="1" customHeight="1">
      <c r="A2" s="759"/>
      <c r="B2" s="1084">
        <v>1</v>
      </c>
      <c r="C2" s="1084"/>
      <c r="D2" s="1820" t="s">
        <v>90</v>
      </c>
      <c r="E2" s="1408"/>
      <c r="F2" s="1415"/>
      <c r="G2" s="1415"/>
      <c r="H2" s="1415"/>
      <c r="I2" s="1876"/>
      <c r="J2" s="1877"/>
      <c r="K2" s="1459"/>
      <c r="L2" s="445"/>
      <c r="M2" s="445"/>
      <c r="N2" s="434" t="str">
        <f t="array" ref="N2">IF(ISERROR(MATCH(MID(O2,1,250),MID(note_ter,1,250),0)),"n","y")</f>
        <v>n</v>
      </c>
      <c r="O2" s="445"/>
      <c r="P2" s="434" t="str">
        <f>G2&amp;"("&amp;J2&amp;")"</f>
        <v>()</v>
      </c>
      <c r="Q2" s="1084"/>
      <c r="R2" s="1084"/>
      <c r="S2" s="354"/>
      <c r="T2" s="1084"/>
      <c r="U2" s="1084"/>
      <c r="V2" s="1084"/>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1566" customFormat="1" ht="4.1500000000000004" customHeight="1">
      <c r="A3" s="430"/>
      <c r="D3" s="428"/>
      <c r="F3" s="182" t="s">
        <v>70</v>
      </c>
      <c r="G3" s="428" t="s">
        <v>71</v>
      </c>
      <c r="H3" s="428"/>
      <c r="I3" s="428"/>
      <c r="J3" s="162" t="s">
        <v>72</v>
      </c>
      <c r="K3" s="182" t="s">
        <v>70</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1715" customFormat="1" ht="14.65" customHeight="1">
      <c r="A4" s="1079"/>
      <c r="B4" s="1084"/>
      <c r="C4" s="1079"/>
      <c r="D4" s="1419"/>
      <c r="E4" s="443"/>
      <c r="F4" s="1566"/>
      <c r="G4" s="443"/>
      <c r="H4" s="443"/>
      <c r="I4" s="443"/>
      <c r="J4" s="101"/>
      <c r="K4" s="182"/>
      <c r="L4" s="434"/>
      <c r="M4" s="434"/>
      <c r="N4" s="434"/>
      <c r="O4" s="161"/>
      <c r="P4" s="434"/>
      <c r="Q4" s="160"/>
      <c r="R4" s="160"/>
      <c r="S4" s="160"/>
      <c r="T4" s="160"/>
      <c r="IU4" s="441">
        <v>14</v>
      </c>
    </row>
    <row r="5" spans="1:255" s="1715" customFormat="1" ht="27.4" customHeight="1">
      <c r="A5" s="1079"/>
      <c r="B5" s="1084"/>
      <c r="C5" s="1079"/>
      <c r="D5" s="1419"/>
      <c r="E5" s="387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874"/>
      <c r="G5" s="3874"/>
      <c r="H5" s="3874"/>
      <c r="I5" s="3874"/>
      <c r="J5" s="3874"/>
      <c r="K5" s="182"/>
      <c r="L5" s="434"/>
      <c r="M5" s="434"/>
      <c r="N5" s="434"/>
      <c r="O5" s="161"/>
      <c r="P5" s="434"/>
      <c r="Q5" s="160"/>
      <c r="R5" s="160"/>
      <c r="S5" s="160"/>
      <c r="T5" s="160"/>
      <c r="IU5" s="441">
        <v>26</v>
      </c>
    </row>
    <row r="6" spans="1:255" s="1715" customFormat="1" ht="14.65" customHeight="1">
      <c r="A6" s="1079"/>
      <c r="B6" s="1084"/>
      <c r="C6" s="1079"/>
      <c r="D6" s="1419"/>
      <c r="E6" s="443"/>
      <c r="F6" s="102"/>
      <c r="G6" s="102"/>
      <c r="H6" s="102"/>
      <c r="I6" s="102"/>
      <c r="J6" s="103"/>
      <c r="K6" s="434"/>
      <c r="L6" s="434"/>
      <c r="M6" s="434"/>
      <c r="N6" s="434"/>
      <c r="O6" s="161"/>
      <c r="P6" s="434"/>
      <c r="Q6" s="160"/>
      <c r="R6" s="160"/>
      <c r="S6" s="160"/>
      <c r="T6" s="160"/>
      <c r="IU6" s="441">
        <v>14</v>
      </c>
    </row>
    <row r="7" spans="1:255" s="1715" customFormat="1" ht="14.65" customHeight="1">
      <c r="A7" s="1079"/>
      <c r="B7" s="1084"/>
      <c r="C7" s="1079"/>
      <c r="D7" s="1419"/>
      <c r="E7" s="3870" t="s">
        <v>508</v>
      </c>
      <c r="F7" s="3875"/>
      <c r="G7" s="3875"/>
      <c r="H7" s="3875"/>
      <c r="I7" s="3875"/>
      <c r="J7" s="4200" t="s">
        <v>509</v>
      </c>
      <c r="K7" s="434"/>
      <c r="L7" s="434"/>
      <c r="M7" s="434"/>
      <c r="N7" s="434"/>
      <c r="O7" s="161"/>
      <c r="P7" s="434"/>
      <c r="Q7" s="160"/>
      <c r="R7" s="160"/>
      <c r="S7" s="160"/>
      <c r="T7" s="160"/>
      <c r="IU7" s="441">
        <v>14</v>
      </c>
    </row>
    <row r="8" spans="1:255" s="1715" customFormat="1" ht="21" customHeight="1">
      <c r="A8" s="1079"/>
      <c r="B8" s="1084"/>
      <c r="C8" s="1079"/>
      <c r="D8" s="1419"/>
      <c r="E8" s="1472" t="s">
        <v>75</v>
      </c>
      <c r="F8" s="1464" t="s">
        <v>2069</v>
      </c>
      <c r="G8" s="1464" t="s">
        <v>35</v>
      </c>
      <c r="H8" s="1464" t="s">
        <v>37</v>
      </c>
      <c r="I8" s="1464" t="s">
        <v>2070</v>
      </c>
      <c r="J8" s="4201"/>
      <c r="K8" s="434"/>
      <c r="L8" s="434"/>
      <c r="M8" s="434"/>
      <c r="N8" s="434"/>
      <c r="O8" s="161"/>
      <c r="P8" s="434"/>
      <c r="Q8" s="160"/>
      <c r="R8" s="160"/>
      <c r="S8" s="160"/>
      <c r="T8" s="160"/>
      <c r="IU8" s="441">
        <v>20</v>
      </c>
    </row>
    <row r="9" spans="1:255" s="1745" customFormat="1" ht="23.25" customHeight="1">
      <c r="A9" s="1555"/>
      <c r="B9" s="1084">
        <v>1</v>
      </c>
      <c r="C9" s="1084"/>
      <c r="D9" s="729"/>
      <c r="E9" s="1408">
        <v>1</v>
      </c>
      <c r="F9" s="1471"/>
      <c r="G9" s="1415"/>
      <c r="H9" s="1415"/>
      <c r="I9" s="1462"/>
      <c r="J9" s="393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9"/>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4"/>
      <c r="R9" s="1084"/>
      <c r="S9" s="354"/>
      <c r="T9" s="1084"/>
      <c r="U9" s="1084"/>
      <c r="V9" s="1084"/>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1745" customFormat="1" ht="15.75" customHeight="1">
      <c r="A10" s="1555"/>
      <c r="B10" s="1084"/>
      <c r="C10" s="346"/>
      <c r="D10" s="729"/>
      <c r="E10" s="1465"/>
      <c r="F10" s="1424" t="s">
        <v>2071</v>
      </c>
      <c r="G10" s="1466"/>
      <c r="H10" s="1466"/>
      <c r="I10" s="1794"/>
      <c r="J10" s="3937"/>
      <c r="K10" s="1460"/>
      <c r="L10" s="445"/>
      <c r="M10" s="445"/>
      <c r="N10" s="445"/>
      <c r="O10" s="434"/>
      <c r="P10" s="445"/>
      <c r="Q10" s="1084"/>
      <c r="R10" s="1084"/>
      <c r="S10" s="354"/>
      <c r="T10" s="1084"/>
      <c r="U10" s="1084"/>
      <c r="V10" s="1084"/>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1715" customFormat="1" ht="21.95" customHeight="1">
      <c r="A11" s="1079"/>
      <c r="B11" s="1084"/>
      <c r="C11" s="1079"/>
      <c r="D11" s="385"/>
      <c r="E11" s="115"/>
      <c r="F11" s="115"/>
      <c r="G11" s="115"/>
      <c r="H11" s="115"/>
      <c r="I11" s="115"/>
      <c r="J11" s="115"/>
      <c r="K11" s="434"/>
      <c r="L11" s="434"/>
      <c r="M11" s="434"/>
      <c r="N11" s="434"/>
      <c r="O11" s="161"/>
      <c r="P11" s="434"/>
      <c r="Q11" s="160"/>
      <c r="R11" s="160"/>
      <c r="S11" s="160"/>
      <c r="T11" s="160"/>
      <c r="IU11" s="441">
        <v>21</v>
      </c>
    </row>
    <row r="12" spans="1:255" s="1715" customFormat="1" ht="14.65" customHeight="1">
      <c r="A12" s="1079"/>
      <c r="B12" s="1084"/>
      <c r="C12" s="1079"/>
      <c r="D12" s="385"/>
      <c r="E12" s="1079"/>
      <c r="F12" s="1079"/>
      <c r="G12" s="1079"/>
      <c r="H12" s="1079"/>
      <c r="I12" s="1079"/>
      <c r="J12" s="1079"/>
      <c r="K12" s="434"/>
      <c r="L12" s="434"/>
      <c r="M12" s="434"/>
      <c r="N12" s="434"/>
      <c r="O12" s="161"/>
      <c r="P12" s="434"/>
      <c r="Q12" s="160"/>
      <c r="R12" s="160"/>
      <c r="S12" s="160"/>
      <c r="T12" s="160"/>
      <c r="IU12" s="441">
        <v>14</v>
      </c>
    </row>
    <row r="13" spans="1:255" s="1715" customFormat="1" ht="1.1499999999999999" customHeight="1">
      <c r="A13" s="1079"/>
      <c r="B13" s="1084"/>
      <c r="C13" s="1079"/>
      <c r="D13" s="385"/>
      <c r="E13" s="1079"/>
      <c r="F13" s="1079"/>
      <c r="G13" s="1079"/>
      <c r="H13" s="1079"/>
      <c r="I13" s="1079"/>
      <c r="J13" s="1079"/>
      <c r="K13" s="434"/>
      <c r="L13" s="434"/>
      <c r="M13" s="434"/>
      <c r="N13" s="434"/>
      <c r="O13" s="161"/>
      <c r="P13" s="434"/>
      <c r="Q13" s="160"/>
      <c r="R13" s="160"/>
      <c r="S13" s="160"/>
      <c r="T13" s="160"/>
      <c r="IU13" s="441">
        <v>1</v>
      </c>
    </row>
    <row r="14" spans="1:255" s="991" customFormat="1" ht="10.5" customHeight="1">
      <c r="B14" s="762"/>
      <c r="D14" s="117"/>
      <c r="K14" s="434"/>
      <c r="L14" s="434"/>
      <c r="M14" s="434"/>
      <c r="N14" s="434"/>
      <c r="O14" s="161"/>
      <c r="P14" s="434"/>
      <c r="Q14" s="160"/>
      <c r="R14" s="160"/>
      <c r="S14" s="160"/>
      <c r="T14" s="160"/>
      <c r="IU14" s="116">
        <v>10</v>
      </c>
    </row>
    <row r="15" spans="1:255" s="991" customFormat="1" ht="10.5" customHeight="1">
      <c r="B15" s="762"/>
      <c r="D15" s="117"/>
      <c r="K15" s="434"/>
      <c r="L15" s="434"/>
      <c r="M15" s="434"/>
      <c r="N15" s="434"/>
      <c r="O15" s="161"/>
      <c r="P15" s="434"/>
      <c r="Q15" s="160"/>
      <c r="R15" s="160"/>
      <c r="S15" s="160"/>
      <c r="T15" s="160"/>
      <c r="IU15" s="116">
        <v>10</v>
      </c>
    </row>
    <row r="16" spans="1:255" ht="14.65" customHeight="1">
      <c r="IU16" s="1079">
        <v>14</v>
      </c>
    </row>
    <row r="17" spans="1:255" ht="14.65" customHeight="1">
      <c r="IU17" s="1079">
        <v>14</v>
      </c>
    </row>
    <row r="18" spans="1:255" ht="14.65" customHeight="1">
      <c r="IU18" s="1079">
        <v>14</v>
      </c>
    </row>
    <row r="19" spans="1:255" ht="14.65" customHeight="1">
      <c r="G19" s="307"/>
      <c r="H19" s="307"/>
      <c r="I19" s="307"/>
      <c r="IU19" s="1079">
        <v>14</v>
      </c>
    </row>
    <row r="20" spans="1:255" ht="14.65" customHeight="1">
      <c r="IU20" s="1079">
        <v>14</v>
      </c>
    </row>
    <row r="21" spans="1:255" ht="14.65" customHeight="1">
      <c r="IU21" s="1079">
        <v>14</v>
      </c>
    </row>
    <row r="22" spans="1:255" ht="14.65" customHeight="1">
      <c r="IU22" s="1079">
        <v>14</v>
      </c>
    </row>
    <row r="23" spans="1:255" ht="14.65" customHeight="1">
      <c r="K23" s="1079"/>
      <c r="L23" s="1079"/>
      <c r="M23" s="1079"/>
      <c r="IU23" s="1079">
        <v>14</v>
      </c>
    </row>
    <row r="24" spans="1:255" ht="22.5" hidden="1" customHeight="1">
      <c r="A24" s="1079" t="s">
        <v>69</v>
      </c>
      <c r="B24" s="1084">
        <v>0</v>
      </c>
      <c r="C24" s="1079">
        <v>0</v>
      </c>
      <c r="D24" s="385">
        <v>3</v>
      </c>
      <c r="E24" s="1079">
        <v>6</v>
      </c>
      <c r="F24" s="1079">
        <v>46</v>
      </c>
      <c r="G24" s="1079">
        <v>16</v>
      </c>
      <c r="H24" s="1079">
        <v>16</v>
      </c>
      <c r="I24" s="1079">
        <v>35</v>
      </c>
      <c r="J24" s="1079">
        <v>89</v>
      </c>
      <c r="K24" s="434">
        <v>3</v>
      </c>
      <c r="L24" s="434">
        <v>8</v>
      </c>
      <c r="M24" s="434">
        <v>8</v>
      </c>
      <c r="N24" s="434">
        <v>8</v>
      </c>
      <c r="O24" s="161">
        <v>25</v>
      </c>
      <c r="P24" s="434">
        <v>14</v>
      </c>
      <c r="Q24" s="160">
        <v>8</v>
      </c>
      <c r="R24" s="160">
        <v>8</v>
      </c>
      <c r="S24" s="160">
        <v>8</v>
      </c>
      <c r="T24" s="160">
        <v>8</v>
      </c>
      <c r="U24" s="1079">
        <v>8</v>
      </c>
      <c r="V24" s="1079">
        <v>8</v>
      </c>
      <c r="W24" s="1079">
        <v>8</v>
      </c>
      <c r="X24" s="1079">
        <v>8</v>
      </c>
      <c r="Y24" s="1079">
        <v>8</v>
      </c>
      <c r="Z24" s="1079">
        <v>8</v>
      </c>
      <c r="AA24" s="1079">
        <v>8</v>
      </c>
      <c r="AB24" s="1079">
        <v>8</v>
      </c>
      <c r="AC24" s="1079">
        <v>8</v>
      </c>
      <c r="AD24" s="1079">
        <v>8</v>
      </c>
      <c r="AE24" s="1079">
        <v>8</v>
      </c>
      <c r="AF24" s="1079">
        <v>8</v>
      </c>
      <c r="AG24" s="1079">
        <v>8</v>
      </c>
      <c r="AH24" s="1079">
        <v>8</v>
      </c>
      <c r="AI24" s="1079">
        <v>8</v>
      </c>
      <c r="AJ24" s="1079">
        <v>8</v>
      </c>
      <c r="AK24" s="1079">
        <v>8</v>
      </c>
      <c r="AL24" s="1079">
        <v>8</v>
      </c>
      <c r="AM24" s="1079">
        <v>8</v>
      </c>
      <c r="AN24" s="1079">
        <v>8</v>
      </c>
      <c r="AO24" s="1079">
        <v>8</v>
      </c>
      <c r="AP24" s="1079">
        <v>8</v>
      </c>
      <c r="AQ24" s="1079">
        <v>8</v>
      </c>
      <c r="AR24" s="1079">
        <v>8</v>
      </c>
      <c r="AS24" s="1079">
        <v>8</v>
      </c>
      <c r="AT24" s="1079">
        <v>8</v>
      </c>
      <c r="AU24" s="1079">
        <v>8</v>
      </c>
      <c r="AV24" s="1079">
        <v>8</v>
      </c>
      <c r="AW24" s="1079">
        <v>8</v>
      </c>
      <c r="AX24" s="1079">
        <v>8</v>
      </c>
      <c r="AY24" s="1079">
        <v>8</v>
      </c>
      <c r="AZ24" s="1079">
        <v>8</v>
      </c>
      <c r="BA24" s="1079">
        <v>8</v>
      </c>
      <c r="BB24" s="1079">
        <v>8</v>
      </c>
      <c r="BC24" s="1079">
        <v>8</v>
      </c>
      <c r="BD24" s="1079">
        <v>8</v>
      </c>
      <c r="BE24" s="1079">
        <v>8</v>
      </c>
      <c r="BF24" s="1079">
        <v>8</v>
      </c>
      <c r="BG24" s="1079">
        <v>8</v>
      </c>
      <c r="BH24" s="1079">
        <v>8</v>
      </c>
      <c r="BI24" s="1079">
        <v>8</v>
      </c>
      <c r="BJ24" s="1079">
        <v>8</v>
      </c>
      <c r="BK24" s="1079">
        <v>8</v>
      </c>
      <c r="BL24" s="1079">
        <v>8</v>
      </c>
      <c r="BM24" s="1079">
        <v>8</v>
      </c>
      <c r="BN24" s="1079">
        <v>8</v>
      </c>
      <c r="BO24" s="1079">
        <v>8</v>
      </c>
      <c r="BP24" s="1079">
        <v>8</v>
      </c>
      <c r="BQ24" s="1079">
        <v>8</v>
      </c>
      <c r="BR24" s="1079">
        <v>8</v>
      </c>
      <c r="BS24" s="1079">
        <v>8</v>
      </c>
      <c r="BT24" s="1079">
        <v>8</v>
      </c>
      <c r="BU24" s="1079">
        <v>8</v>
      </c>
      <c r="BV24" s="1079">
        <v>8</v>
      </c>
      <c r="BW24" s="1079">
        <v>8</v>
      </c>
      <c r="BX24" s="1079">
        <v>8</v>
      </c>
      <c r="BY24" s="1079">
        <v>8</v>
      </c>
      <c r="BZ24" s="1079">
        <v>8</v>
      </c>
      <c r="CA24" s="1079">
        <v>8</v>
      </c>
      <c r="CB24" s="1079">
        <v>8</v>
      </c>
      <c r="CC24" s="1079">
        <v>8</v>
      </c>
      <c r="CD24" s="1079">
        <v>8</v>
      </c>
      <c r="CE24" s="1079">
        <v>8</v>
      </c>
      <c r="CF24" s="1079">
        <v>8</v>
      </c>
      <c r="CG24" s="1079">
        <v>8</v>
      </c>
      <c r="CH24" s="1079">
        <v>8</v>
      </c>
      <c r="CI24" s="1079">
        <v>8</v>
      </c>
      <c r="CJ24" s="1079">
        <v>8</v>
      </c>
      <c r="CK24" s="1079">
        <v>8</v>
      </c>
      <c r="CL24" s="1079">
        <v>8</v>
      </c>
      <c r="CM24" s="1079">
        <v>8</v>
      </c>
      <c r="CN24" s="1079">
        <v>8</v>
      </c>
      <c r="CO24" s="1079">
        <v>8</v>
      </c>
      <c r="CP24" s="1079">
        <v>8</v>
      </c>
      <c r="CQ24" s="1079">
        <v>8</v>
      </c>
      <c r="CR24" s="1079">
        <v>8</v>
      </c>
      <c r="CS24" s="1079">
        <v>8</v>
      </c>
      <c r="CT24" s="1079">
        <v>8</v>
      </c>
      <c r="CU24" s="1079">
        <v>8</v>
      </c>
      <c r="CV24" s="1079">
        <v>8</v>
      </c>
      <c r="CW24" s="1079">
        <v>8</v>
      </c>
      <c r="CX24" s="1079">
        <v>8</v>
      </c>
      <c r="CY24" s="1079">
        <v>8</v>
      </c>
      <c r="CZ24" s="1079">
        <v>8</v>
      </c>
      <c r="DA24" s="1079">
        <v>8</v>
      </c>
      <c r="DB24" s="1079">
        <v>8</v>
      </c>
      <c r="DC24" s="1079">
        <v>8</v>
      </c>
      <c r="DD24" s="1079">
        <v>8</v>
      </c>
      <c r="DE24" s="1079">
        <v>8</v>
      </c>
      <c r="DF24" s="1079">
        <v>8</v>
      </c>
      <c r="DG24" s="1079">
        <v>8</v>
      </c>
      <c r="DH24" s="1079">
        <v>8</v>
      </c>
      <c r="DI24" s="1079">
        <v>8</v>
      </c>
      <c r="DJ24" s="1079">
        <v>8</v>
      </c>
      <c r="DK24" s="1079">
        <v>8</v>
      </c>
      <c r="DL24" s="1079">
        <v>8</v>
      </c>
      <c r="DM24" s="1079">
        <v>8</v>
      </c>
      <c r="DN24" s="1079">
        <v>8</v>
      </c>
      <c r="DO24" s="1079">
        <v>8</v>
      </c>
      <c r="DP24" s="1079">
        <v>8</v>
      </c>
      <c r="DQ24" s="1079">
        <v>8</v>
      </c>
      <c r="DR24" s="1079">
        <v>8</v>
      </c>
      <c r="DS24" s="1079">
        <v>8</v>
      </c>
      <c r="DT24" s="1079">
        <v>8</v>
      </c>
      <c r="DU24" s="1079">
        <v>8</v>
      </c>
      <c r="DV24" s="1079">
        <v>8</v>
      </c>
      <c r="DW24" s="1079">
        <v>8</v>
      </c>
      <c r="DX24" s="1079">
        <v>8</v>
      </c>
      <c r="DY24" s="1079">
        <v>8</v>
      </c>
      <c r="DZ24" s="1079">
        <v>8</v>
      </c>
      <c r="EA24" s="1079">
        <v>8</v>
      </c>
      <c r="EB24" s="1079">
        <v>8</v>
      </c>
      <c r="EC24" s="1079">
        <v>8</v>
      </c>
      <c r="ED24" s="1079">
        <v>8</v>
      </c>
      <c r="EE24" s="1079">
        <v>8</v>
      </c>
      <c r="EF24" s="1079">
        <v>8</v>
      </c>
      <c r="EG24" s="1079">
        <v>8</v>
      </c>
      <c r="EH24" s="1079">
        <v>8</v>
      </c>
      <c r="EI24" s="1079">
        <v>8</v>
      </c>
      <c r="EJ24" s="1079">
        <v>8</v>
      </c>
      <c r="EK24" s="1079">
        <v>8</v>
      </c>
      <c r="EL24" s="1079">
        <v>8</v>
      </c>
      <c r="EM24" s="1079">
        <v>8</v>
      </c>
      <c r="EN24" s="1079">
        <v>8</v>
      </c>
      <c r="EO24" s="1079">
        <v>8</v>
      </c>
      <c r="EP24" s="1079">
        <v>8</v>
      </c>
      <c r="EQ24" s="1079">
        <v>8</v>
      </c>
      <c r="ER24" s="1079">
        <v>8</v>
      </c>
      <c r="ES24" s="1079">
        <v>8</v>
      </c>
      <c r="ET24" s="1079">
        <v>8</v>
      </c>
      <c r="EU24" s="1079">
        <v>8</v>
      </c>
      <c r="EV24" s="1079">
        <v>8</v>
      </c>
      <c r="EW24" s="1079">
        <v>8</v>
      </c>
      <c r="EX24" s="1079">
        <v>8</v>
      </c>
      <c r="EY24" s="1079">
        <v>8</v>
      </c>
      <c r="EZ24" s="1079">
        <v>8</v>
      </c>
      <c r="FA24" s="1079">
        <v>8</v>
      </c>
      <c r="FB24" s="1079">
        <v>8</v>
      </c>
      <c r="FC24" s="1079">
        <v>8</v>
      </c>
      <c r="FD24" s="1079">
        <v>8</v>
      </c>
      <c r="FE24" s="1079">
        <v>8</v>
      </c>
      <c r="FF24" s="1079">
        <v>8</v>
      </c>
      <c r="FG24" s="1079">
        <v>8</v>
      </c>
      <c r="FH24" s="1079">
        <v>8</v>
      </c>
      <c r="FI24" s="1079">
        <v>8</v>
      </c>
      <c r="FJ24" s="1079">
        <v>8</v>
      </c>
      <c r="FK24" s="1079">
        <v>8</v>
      </c>
      <c r="FL24" s="1079">
        <v>8</v>
      </c>
      <c r="FM24" s="1079">
        <v>8</v>
      </c>
      <c r="FN24" s="1079">
        <v>8</v>
      </c>
      <c r="FO24" s="1079">
        <v>8</v>
      </c>
      <c r="FP24" s="1079">
        <v>8</v>
      </c>
      <c r="FQ24" s="1079">
        <v>8</v>
      </c>
      <c r="FR24" s="1079">
        <v>8</v>
      </c>
      <c r="FS24" s="1079">
        <v>8</v>
      </c>
      <c r="FT24" s="1079">
        <v>8</v>
      </c>
      <c r="FU24" s="1079">
        <v>8</v>
      </c>
      <c r="FV24" s="1079">
        <v>8</v>
      </c>
      <c r="FW24" s="1079">
        <v>8</v>
      </c>
      <c r="FX24" s="1079">
        <v>8</v>
      </c>
      <c r="FY24" s="1079">
        <v>8</v>
      </c>
      <c r="FZ24" s="1079">
        <v>8</v>
      </c>
      <c r="GA24" s="1079">
        <v>8</v>
      </c>
      <c r="GB24" s="1079">
        <v>8</v>
      </c>
      <c r="GC24" s="1079">
        <v>8</v>
      </c>
      <c r="GD24" s="1079">
        <v>8</v>
      </c>
      <c r="GE24" s="1079">
        <v>8</v>
      </c>
      <c r="GF24" s="1079">
        <v>8</v>
      </c>
      <c r="GG24" s="1079">
        <v>8</v>
      </c>
      <c r="GH24" s="1079">
        <v>8</v>
      </c>
      <c r="GI24" s="1079">
        <v>8</v>
      </c>
      <c r="GJ24" s="1079">
        <v>8</v>
      </c>
      <c r="GK24" s="1079">
        <v>8</v>
      </c>
      <c r="GL24" s="1079">
        <v>8</v>
      </c>
      <c r="GM24" s="1079">
        <v>8</v>
      </c>
      <c r="GN24" s="1079">
        <v>8</v>
      </c>
      <c r="GO24" s="1079">
        <v>8</v>
      </c>
      <c r="GP24" s="1079">
        <v>8</v>
      </c>
      <c r="GQ24" s="1079">
        <v>8</v>
      </c>
      <c r="GR24" s="1079">
        <v>8</v>
      </c>
      <c r="GS24" s="1079">
        <v>8</v>
      </c>
      <c r="GT24" s="1079">
        <v>8</v>
      </c>
      <c r="GU24" s="1079">
        <v>8</v>
      </c>
      <c r="GV24" s="1079">
        <v>8</v>
      </c>
      <c r="GW24" s="1079">
        <v>8</v>
      </c>
      <c r="GX24" s="1079">
        <v>8</v>
      </c>
      <c r="GY24" s="1079">
        <v>8</v>
      </c>
      <c r="GZ24" s="1079">
        <v>8</v>
      </c>
      <c r="HA24" s="1079">
        <v>8</v>
      </c>
      <c r="HB24" s="1079">
        <v>8</v>
      </c>
      <c r="HC24" s="1079">
        <v>8</v>
      </c>
      <c r="HD24" s="1079">
        <v>8</v>
      </c>
      <c r="HE24" s="1079">
        <v>8</v>
      </c>
      <c r="HF24" s="1079">
        <v>8</v>
      </c>
      <c r="HG24" s="1079">
        <v>8</v>
      </c>
      <c r="HH24" s="1079">
        <v>8</v>
      </c>
      <c r="HI24" s="1079">
        <v>8</v>
      </c>
      <c r="HJ24" s="1079">
        <v>8</v>
      </c>
      <c r="HK24" s="1079">
        <v>8</v>
      </c>
      <c r="HL24" s="1079">
        <v>8</v>
      </c>
      <c r="HM24" s="1079">
        <v>8</v>
      </c>
      <c r="HN24" s="1079">
        <v>8</v>
      </c>
      <c r="HO24" s="1079">
        <v>8</v>
      </c>
      <c r="HP24" s="1079">
        <v>8</v>
      </c>
      <c r="HQ24" s="1079">
        <v>8</v>
      </c>
      <c r="HR24" s="1079">
        <v>8</v>
      </c>
      <c r="HS24" s="1079">
        <v>8</v>
      </c>
      <c r="HT24" s="1079">
        <v>8</v>
      </c>
      <c r="HU24" s="1079">
        <v>8</v>
      </c>
      <c r="HV24" s="1079">
        <v>8</v>
      </c>
      <c r="HW24" s="1079">
        <v>8</v>
      </c>
      <c r="HX24" s="1079">
        <v>8</v>
      </c>
      <c r="HY24" s="1079">
        <v>8</v>
      </c>
      <c r="HZ24" s="1079">
        <v>8</v>
      </c>
      <c r="IA24" s="1079">
        <v>8</v>
      </c>
      <c r="IB24" s="1079">
        <v>8</v>
      </c>
      <c r="IC24" s="1079">
        <v>8</v>
      </c>
      <c r="ID24" s="1079">
        <v>8</v>
      </c>
      <c r="IE24" s="1079">
        <v>8</v>
      </c>
      <c r="IF24" s="1079">
        <v>8</v>
      </c>
      <c r="IG24" s="1079">
        <v>8</v>
      </c>
      <c r="IH24" s="1079">
        <v>8</v>
      </c>
      <c r="II24" s="1079">
        <v>8</v>
      </c>
      <c r="IJ24" s="1079">
        <v>8</v>
      </c>
      <c r="IK24" s="1079">
        <v>8</v>
      </c>
      <c r="IL24" s="1079">
        <v>8</v>
      </c>
      <c r="IM24" s="1079">
        <v>8</v>
      </c>
      <c r="IN24" s="1079">
        <v>8</v>
      </c>
      <c r="IO24" s="1079">
        <v>8</v>
      </c>
      <c r="IP24" s="1079">
        <v>8</v>
      </c>
      <c r="IQ24" s="1079">
        <v>8</v>
      </c>
      <c r="IR24" s="1079">
        <v>8</v>
      </c>
      <c r="IS24" s="1079">
        <v>8</v>
      </c>
      <c r="IT24" s="1079">
        <v>8</v>
      </c>
      <c r="IU24" s="107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37"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0" customWidth="1"/>
    <col min="23" max="256" width="8" style="1559" customWidth="1"/>
    <col min="257" max="257" width="9.140625" style="1559" hidden="1"/>
  </cols>
  <sheetData>
    <row r="1" spans="1:257" ht="22.5" hidden="1" customHeight="1">
      <c r="IW1" s="1079" t="s">
        <v>1</v>
      </c>
    </row>
    <row r="2" spans="1:257" s="1745" customFormat="1" ht="22.5" hidden="1" customHeight="1">
      <c r="A2" s="759"/>
      <c r="B2" s="1084">
        <v>1</v>
      </c>
      <c r="C2" s="1084"/>
      <c r="D2" s="1820" t="s">
        <v>90</v>
      </c>
      <c r="E2" s="1784"/>
      <c r="F2" s="1787" t="str">
        <f>IF(ROIV_INFO_NAME="","",ROIV_INFO_NAME)</f>
        <v>ООО "Смоленскрегионтеплоэнерго"</v>
      </c>
      <c r="G2" s="1812" t="s">
        <v>15</v>
      </c>
      <c r="H2" s="1811"/>
      <c r="I2" s="1462"/>
      <c r="J2" s="746"/>
      <c r="K2" s="746"/>
      <c r="L2" s="163"/>
      <c r="M2" s="1459" t="e">
        <f ca="1">MERGEVALUE(F2)</f>
        <v>#NAME?</v>
      </c>
      <c r="N2" s="445"/>
      <c r="O2" s="445"/>
      <c r="P2" s="434" t="str">
        <f t="array" ref="P2">IF(ISERROR(MATCH(MID(Q2,1,250),MID(note_ter,1,250),0)),"n","y")</f>
        <v>n</v>
      </c>
      <c r="Q2" s="445"/>
      <c r="R2" s="434" t="str">
        <f>G2&amp;"("&amp;L2&amp;")"</f>
        <v>()</v>
      </c>
      <c r="S2" s="1084"/>
      <c r="T2" s="1084"/>
      <c r="U2" s="354"/>
      <c r="V2" s="1084"/>
      <c r="W2" s="1084"/>
      <c r="X2" s="1084"/>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1566" customFormat="1" ht="5.25" hidden="1" customHeight="1">
      <c r="A3" s="430"/>
      <c r="D3" s="428"/>
      <c r="F3" s="182" t="s">
        <v>70</v>
      </c>
      <c r="G3" s="1631" t="s">
        <v>71</v>
      </c>
      <c r="H3" s="428"/>
      <c r="I3" s="428"/>
      <c r="J3" s="428"/>
      <c r="K3" s="428"/>
      <c r="L3" s="162" t="s">
        <v>72</v>
      </c>
      <c r="M3" s="182" t="s">
        <v>70</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1715" customFormat="1" ht="14.65" customHeight="1">
      <c r="A4" s="1079"/>
      <c r="B4" s="1084"/>
      <c r="C4" s="1079"/>
      <c r="D4" s="1419"/>
      <c r="E4" s="443"/>
      <c r="F4" s="443"/>
      <c r="G4" s="443"/>
      <c r="H4" s="443"/>
      <c r="I4" s="443"/>
      <c r="J4" s="443"/>
      <c r="K4" s="443"/>
      <c r="L4" s="101"/>
      <c r="M4" s="182"/>
      <c r="N4" s="434"/>
      <c r="O4" s="434"/>
      <c r="P4" s="434"/>
      <c r="Q4" s="161"/>
      <c r="R4" s="434"/>
      <c r="S4" s="160"/>
      <c r="T4" s="160"/>
      <c r="U4" s="160"/>
      <c r="V4" s="160"/>
      <c r="IW4" s="441">
        <v>14</v>
      </c>
    </row>
    <row r="5" spans="1:257" s="1715" customFormat="1" ht="27.4" customHeight="1">
      <c r="A5" s="1079"/>
      <c r="B5" s="1084"/>
      <c r="C5" s="1079"/>
      <c r="D5" s="1419"/>
      <c r="E5" s="387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874"/>
      <c r="G5" s="3874"/>
      <c r="H5" s="3874"/>
      <c r="I5" s="3874"/>
      <c r="J5" s="3874"/>
      <c r="K5" s="3874"/>
      <c r="L5" s="522"/>
      <c r="M5" s="182"/>
      <c r="N5" s="434"/>
      <c r="O5" s="434"/>
      <c r="P5" s="434"/>
      <c r="Q5" s="161"/>
      <c r="R5" s="434"/>
      <c r="S5" s="160"/>
      <c r="T5" s="160"/>
      <c r="U5" s="160"/>
      <c r="V5" s="160"/>
      <c r="IW5" s="441">
        <v>26</v>
      </c>
    </row>
    <row r="6" spans="1:257" s="1715" customFormat="1" ht="14.65" customHeight="1">
      <c r="A6" s="1079"/>
      <c r="B6" s="1084"/>
      <c r="C6" s="1079"/>
      <c r="D6" s="1419"/>
      <c r="E6" s="443"/>
      <c r="F6" s="102"/>
      <c r="G6" s="102"/>
      <c r="H6" s="102"/>
      <c r="I6" s="102"/>
      <c r="J6" s="102"/>
      <c r="K6" s="102"/>
      <c r="L6" s="103"/>
      <c r="M6" s="434"/>
      <c r="N6" s="434"/>
      <c r="O6" s="434"/>
      <c r="P6" s="434"/>
      <c r="Q6" s="161"/>
      <c r="R6" s="434"/>
      <c r="S6" s="160"/>
      <c r="T6" s="160"/>
      <c r="U6" s="160"/>
      <c r="V6" s="160"/>
      <c r="IW6" s="441">
        <v>14</v>
      </c>
    </row>
    <row r="7" spans="1:257" s="1715" customFormat="1" ht="14.65" customHeight="1">
      <c r="A7" s="1079"/>
      <c r="B7" s="1084"/>
      <c r="C7" s="1079"/>
      <c r="D7" s="1419"/>
      <c r="E7" s="3870" t="s">
        <v>508</v>
      </c>
      <c r="F7" s="3875"/>
      <c r="G7" s="3875"/>
      <c r="H7" s="3875"/>
      <c r="I7" s="3875"/>
      <c r="J7" s="3875"/>
      <c r="K7" s="3875"/>
      <c r="L7" s="4200" t="s">
        <v>509</v>
      </c>
      <c r="M7" s="434"/>
      <c r="N7" s="434"/>
      <c r="O7" s="434"/>
      <c r="P7" s="434"/>
      <c r="Q7" s="161"/>
      <c r="R7" s="434"/>
      <c r="S7" s="160"/>
      <c r="T7" s="160"/>
      <c r="U7" s="160"/>
      <c r="V7" s="160"/>
      <c r="IW7" s="441">
        <v>14</v>
      </c>
    </row>
    <row r="8" spans="1:257" s="1715" customFormat="1" ht="67.150000000000006" customHeight="1">
      <c r="A8" s="1079"/>
      <c r="B8" s="1084"/>
      <c r="C8" s="1079"/>
      <c r="D8" s="1419"/>
      <c r="E8" s="4204" t="s">
        <v>75</v>
      </c>
      <c r="F8" s="420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420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4207"/>
      <c r="I8" s="4208"/>
      <c r="J8" s="420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42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202"/>
      <c r="M8" s="434"/>
      <c r="N8" s="434"/>
      <c r="O8" s="434"/>
      <c r="P8" s="434"/>
      <c r="Q8" s="161"/>
      <c r="R8" s="434"/>
      <c r="S8" s="160"/>
      <c r="T8" s="160"/>
      <c r="U8" s="160"/>
      <c r="V8" s="160"/>
      <c r="IW8" s="441">
        <v>64</v>
      </c>
    </row>
    <row r="9" spans="1:257" s="1715" customFormat="1" ht="29.25" customHeight="1">
      <c r="A9" s="1079"/>
      <c r="B9" s="1084"/>
      <c r="C9" s="1079"/>
      <c r="D9" s="1419"/>
      <c r="E9" s="4205"/>
      <c r="F9" s="4205"/>
      <c r="G9" s="1461" t="s">
        <v>2072</v>
      </c>
      <c r="H9" s="1461" t="s">
        <v>2073</v>
      </c>
      <c r="I9" s="1461" t="s">
        <v>2074</v>
      </c>
      <c r="J9" s="4205"/>
      <c r="K9" s="4205"/>
      <c r="L9" s="4201"/>
      <c r="M9" s="434"/>
      <c r="N9" s="434"/>
      <c r="O9" s="434"/>
      <c r="P9" s="434"/>
      <c r="Q9" s="161"/>
      <c r="R9" s="434"/>
      <c r="S9" s="160"/>
      <c r="T9" s="160"/>
      <c r="U9" s="160"/>
      <c r="V9" s="160"/>
      <c r="IW9" s="441">
        <v>28</v>
      </c>
    </row>
    <row r="10" spans="1:257" s="1745" customFormat="1" ht="23.25" customHeight="1">
      <c r="A10" s="3873"/>
      <c r="B10" s="1084">
        <v>1</v>
      </c>
      <c r="C10" s="1084"/>
      <c r="D10" s="728"/>
      <c r="E10" s="726">
        <v>1</v>
      </c>
      <c r="F10" s="1463" t="str">
        <f>IF(ROIV_INFO_NAME="","",ROIV_INFO_NAME)</f>
        <v>ООО "Смоленскрегионтеплоэнерго"</v>
      </c>
      <c r="G10" s="1628" t="s">
        <v>15</v>
      </c>
      <c r="H10" s="1811"/>
      <c r="I10" s="1458"/>
      <c r="J10" s="746"/>
      <c r="K10" s="746"/>
      <c r="L10" s="41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4"/>
      <c r="T10" s="1084"/>
      <c r="U10" s="354"/>
      <c r="V10" s="1084"/>
      <c r="W10" s="1084"/>
      <c r="X10" s="1084"/>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1745" customFormat="1" ht="15.75" customHeight="1">
      <c r="A11" s="3873"/>
      <c r="B11" s="1084"/>
      <c r="C11" s="346"/>
      <c r="D11" s="729"/>
      <c r="E11" s="355"/>
      <c r="F11" s="350" t="s">
        <v>2075</v>
      </c>
      <c r="G11" s="122"/>
      <c r="H11" s="122"/>
      <c r="I11" s="122"/>
      <c r="J11" s="122"/>
      <c r="K11" s="358"/>
      <c r="L11" s="4203"/>
      <c r="M11" s="1460"/>
      <c r="N11" s="445"/>
      <c r="O11" s="445"/>
      <c r="P11" s="445"/>
      <c r="Q11" s="434"/>
      <c r="R11" s="445"/>
      <c r="S11" s="1084"/>
      <c r="T11" s="1084"/>
      <c r="U11" s="354"/>
      <c r="V11" s="1084"/>
      <c r="W11" s="1084"/>
      <c r="X11" s="1084"/>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1715" customFormat="1" ht="21.95" customHeight="1">
      <c r="A12" s="1079"/>
      <c r="B12" s="1084"/>
      <c r="C12" s="1079"/>
      <c r="D12" s="385"/>
      <c r="E12" s="115"/>
      <c r="F12" s="115"/>
      <c r="G12" s="115"/>
      <c r="H12" s="115"/>
      <c r="I12" s="115"/>
      <c r="J12" s="115"/>
      <c r="K12" s="115"/>
      <c r="L12" s="115"/>
      <c r="M12" s="434"/>
      <c r="N12" s="434"/>
      <c r="O12" s="434"/>
      <c r="P12" s="434"/>
      <c r="Q12" s="161"/>
      <c r="R12" s="434"/>
      <c r="S12" s="160"/>
      <c r="T12" s="160"/>
      <c r="U12" s="160"/>
      <c r="V12" s="160"/>
      <c r="IW12" s="441">
        <v>21</v>
      </c>
    </row>
    <row r="13" spans="1:257" s="1715" customFormat="1" ht="14.65" customHeight="1">
      <c r="A13" s="1079"/>
      <c r="B13" s="1084"/>
      <c r="C13" s="1079"/>
      <c r="D13" s="385"/>
      <c r="E13" s="1079"/>
      <c r="F13" s="1079"/>
      <c r="G13" s="1079"/>
      <c r="H13" s="1079"/>
      <c r="I13" s="1079"/>
      <c r="J13" s="1079"/>
      <c r="K13" s="1079"/>
      <c r="L13" s="1079"/>
      <c r="M13" s="434"/>
      <c r="N13" s="434"/>
      <c r="O13" s="434"/>
      <c r="P13" s="434"/>
      <c r="Q13" s="161"/>
      <c r="R13" s="434"/>
      <c r="S13" s="160"/>
      <c r="T13" s="160"/>
      <c r="U13" s="160"/>
      <c r="V13" s="160"/>
      <c r="IW13" s="441">
        <v>14</v>
      </c>
    </row>
    <row r="14" spans="1:257" s="1715" customFormat="1" ht="1.1499999999999999" customHeight="1">
      <c r="A14" s="1079"/>
      <c r="B14" s="1084"/>
      <c r="C14" s="1079"/>
      <c r="D14" s="385"/>
      <c r="E14" s="1079"/>
      <c r="F14" s="1079"/>
      <c r="G14" s="1079"/>
      <c r="H14" s="1079"/>
      <c r="I14" s="1079"/>
      <c r="J14" s="1079"/>
      <c r="K14" s="1079"/>
      <c r="L14" s="1079"/>
      <c r="M14" s="434"/>
      <c r="N14" s="434"/>
      <c r="O14" s="434"/>
      <c r="P14" s="434"/>
      <c r="Q14" s="161"/>
      <c r="R14" s="434"/>
      <c r="S14" s="160"/>
      <c r="T14" s="160"/>
      <c r="U14" s="160"/>
      <c r="V14" s="160"/>
      <c r="IW14" s="441">
        <v>1</v>
      </c>
    </row>
    <row r="15" spans="1:257" ht="22.5" hidden="1" customHeight="1">
      <c r="A15" s="1079" t="s">
        <v>69</v>
      </c>
      <c r="B15" s="1084">
        <v>0</v>
      </c>
      <c r="C15" s="1079">
        <v>0</v>
      </c>
      <c r="D15" s="385">
        <v>3</v>
      </c>
      <c r="E15" s="1079">
        <v>6</v>
      </c>
      <c r="F15" s="1079">
        <v>27</v>
      </c>
      <c r="G15" s="1079">
        <v>16</v>
      </c>
      <c r="H15" s="1079">
        <v>12</v>
      </c>
      <c r="I15" s="1079">
        <v>32</v>
      </c>
      <c r="J15" s="1079">
        <v>41</v>
      </c>
      <c r="K15" s="1079">
        <v>41</v>
      </c>
      <c r="L15" s="1079">
        <v>89</v>
      </c>
      <c r="M15" s="434">
        <v>3</v>
      </c>
      <c r="N15" s="434">
        <v>8</v>
      </c>
      <c r="O15" s="434">
        <v>8</v>
      </c>
      <c r="P15" s="434">
        <v>8</v>
      </c>
      <c r="Q15" s="161">
        <v>25</v>
      </c>
      <c r="R15" s="434">
        <v>14</v>
      </c>
      <c r="S15" s="160">
        <v>8</v>
      </c>
      <c r="T15" s="160">
        <v>8</v>
      </c>
      <c r="U15" s="160">
        <v>8</v>
      </c>
      <c r="V15" s="160">
        <v>8</v>
      </c>
      <c r="W15" s="1079">
        <v>8</v>
      </c>
      <c r="X15" s="1079">
        <v>8</v>
      </c>
      <c r="Y15" s="1079">
        <v>8</v>
      </c>
      <c r="Z15" s="1079">
        <v>8</v>
      </c>
      <c r="AA15" s="1079">
        <v>8</v>
      </c>
      <c r="AB15" s="1079">
        <v>8</v>
      </c>
      <c r="AC15" s="1079">
        <v>8</v>
      </c>
      <c r="AD15" s="1079">
        <v>8</v>
      </c>
      <c r="AE15" s="1079">
        <v>8</v>
      </c>
      <c r="AF15" s="1079">
        <v>8</v>
      </c>
      <c r="AG15" s="1079">
        <v>8</v>
      </c>
      <c r="AH15" s="1079">
        <v>8</v>
      </c>
      <c r="AI15" s="1079">
        <v>8</v>
      </c>
      <c r="AJ15" s="1079">
        <v>8</v>
      </c>
      <c r="AK15" s="1079">
        <v>8</v>
      </c>
      <c r="AL15" s="1079">
        <v>8</v>
      </c>
      <c r="AM15" s="1079">
        <v>8</v>
      </c>
      <c r="AN15" s="1079">
        <v>8</v>
      </c>
      <c r="AO15" s="1079">
        <v>8</v>
      </c>
      <c r="AP15" s="1079">
        <v>8</v>
      </c>
      <c r="AQ15" s="1079">
        <v>8</v>
      </c>
      <c r="AR15" s="1079">
        <v>8</v>
      </c>
      <c r="AS15" s="1079">
        <v>8</v>
      </c>
      <c r="AT15" s="1079">
        <v>8</v>
      </c>
      <c r="AU15" s="1079">
        <v>8</v>
      </c>
      <c r="AV15" s="1079">
        <v>8</v>
      </c>
      <c r="AW15" s="1079">
        <v>8</v>
      </c>
      <c r="AX15" s="1079">
        <v>8</v>
      </c>
      <c r="AY15" s="1079">
        <v>8</v>
      </c>
      <c r="AZ15" s="1079">
        <v>8</v>
      </c>
      <c r="BA15" s="1079">
        <v>8</v>
      </c>
      <c r="BB15" s="1079">
        <v>8</v>
      </c>
      <c r="BC15" s="1079">
        <v>8</v>
      </c>
      <c r="BD15" s="1079">
        <v>8</v>
      </c>
      <c r="BE15" s="1079">
        <v>8</v>
      </c>
      <c r="BF15" s="1079">
        <v>8</v>
      </c>
      <c r="BG15" s="1079">
        <v>8</v>
      </c>
      <c r="BH15" s="1079">
        <v>8</v>
      </c>
      <c r="BI15" s="1079">
        <v>8</v>
      </c>
      <c r="BJ15" s="1079">
        <v>8</v>
      </c>
      <c r="BK15" s="1079">
        <v>8</v>
      </c>
      <c r="BL15" s="1079">
        <v>8</v>
      </c>
      <c r="BM15" s="1079">
        <v>8</v>
      </c>
      <c r="BN15" s="1079">
        <v>8</v>
      </c>
      <c r="BO15" s="1079">
        <v>8</v>
      </c>
      <c r="BP15" s="1079">
        <v>8</v>
      </c>
      <c r="BQ15" s="1079">
        <v>8</v>
      </c>
      <c r="BR15" s="1079">
        <v>8</v>
      </c>
      <c r="BS15" s="1079">
        <v>8</v>
      </c>
      <c r="BT15" s="1079">
        <v>8</v>
      </c>
      <c r="BU15" s="1079">
        <v>8</v>
      </c>
      <c r="BV15" s="1079">
        <v>8</v>
      </c>
      <c r="BW15" s="1079">
        <v>8</v>
      </c>
      <c r="BX15" s="1079">
        <v>8</v>
      </c>
      <c r="BY15" s="1079">
        <v>8</v>
      </c>
      <c r="BZ15" s="1079">
        <v>8</v>
      </c>
      <c r="CA15" s="1079">
        <v>8</v>
      </c>
      <c r="CB15" s="1079">
        <v>8</v>
      </c>
      <c r="CC15" s="1079">
        <v>8</v>
      </c>
      <c r="CD15" s="1079">
        <v>8</v>
      </c>
      <c r="CE15" s="1079">
        <v>8</v>
      </c>
      <c r="CF15" s="1079">
        <v>8</v>
      </c>
      <c r="CG15" s="1079">
        <v>8</v>
      </c>
      <c r="CH15" s="1079">
        <v>8</v>
      </c>
      <c r="CI15" s="1079">
        <v>8</v>
      </c>
      <c r="CJ15" s="1079">
        <v>8</v>
      </c>
      <c r="CK15" s="1079">
        <v>8</v>
      </c>
      <c r="CL15" s="1079">
        <v>8</v>
      </c>
      <c r="CM15" s="1079">
        <v>8</v>
      </c>
      <c r="CN15" s="1079">
        <v>8</v>
      </c>
      <c r="CO15" s="1079">
        <v>8</v>
      </c>
      <c r="CP15" s="1079">
        <v>8</v>
      </c>
      <c r="CQ15" s="1079">
        <v>8</v>
      </c>
      <c r="CR15" s="1079">
        <v>8</v>
      </c>
      <c r="CS15" s="1079">
        <v>8</v>
      </c>
      <c r="CT15" s="1079">
        <v>8</v>
      </c>
      <c r="CU15" s="1079">
        <v>8</v>
      </c>
      <c r="CV15" s="1079">
        <v>8</v>
      </c>
      <c r="CW15" s="1079">
        <v>8</v>
      </c>
      <c r="CX15" s="1079">
        <v>8</v>
      </c>
      <c r="CY15" s="1079">
        <v>8</v>
      </c>
      <c r="CZ15" s="1079">
        <v>8</v>
      </c>
      <c r="DA15" s="1079">
        <v>8</v>
      </c>
      <c r="DB15" s="1079">
        <v>8</v>
      </c>
      <c r="DC15" s="1079">
        <v>8</v>
      </c>
      <c r="DD15" s="1079">
        <v>8</v>
      </c>
      <c r="DE15" s="1079">
        <v>8</v>
      </c>
      <c r="DF15" s="1079">
        <v>8</v>
      </c>
      <c r="DG15" s="1079">
        <v>8</v>
      </c>
      <c r="DH15" s="1079">
        <v>8</v>
      </c>
      <c r="DI15" s="1079">
        <v>8</v>
      </c>
      <c r="DJ15" s="1079">
        <v>8</v>
      </c>
      <c r="DK15" s="1079">
        <v>8</v>
      </c>
      <c r="DL15" s="1079">
        <v>8</v>
      </c>
      <c r="DM15" s="1079">
        <v>8</v>
      </c>
      <c r="DN15" s="1079">
        <v>8</v>
      </c>
      <c r="DO15" s="1079">
        <v>8</v>
      </c>
      <c r="DP15" s="1079">
        <v>8</v>
      </c>
      <c r="DQ15" s="1079">
        <v>8</v>
      </c>
      <c r="DR15" s="1079">
        <v>8</v>
      </c>
      <c r="DS15" s="1079">
        <v>8</v>
      </c>
      <c r="DT15" s="1079">
        <v>8</v>
      </c>
      <c r="DU15" s="1079">
        <v>8</v>
      </c>
      <c r="DV15" s="1079">
        <v>8</v>
      </c>
      <c r="DW15" s="1079">
        <v>8</v>
      </c>
      <c r="DX15" s="1079">
        <v>8</v>
      </c>
      <c r="DY15" s="1079">
        <v>8</v>
      </c>
      <c r="DZ15" s="1079">
        <v>8</v>
      </c>
      <c r="EA15" s="1079">
        <v>8</v>
      </c>
      <c r="EB15" s="1079">
        <v>8</v>
      </c>
      <c r="EC15" s="1079">
        <v>8</v>
      </c>
      <c r="ED15" s="1079">
        <v>8</v>
      </c>
      <c r="EE15" s="1079">
        <v>8</v>
      </c>
      <c r="EF15" s="1079">
        <v>8</v>
      </c>
      <c r="EG15" s="1079">
        <v>8</v>
      </c>
      <c r="EH15" s="1079">
        <v>8</v>
      </c>
      <c r="EI15" s="1079">
        <v>8</v>
      </c>
      <c r="EJ15" s="1079">
        <v>8</v>
      </c>
      <c r="EK15" s="1079">
        <v>8</v>
      </c>
      <c r="EL15" s="1079">
        <v>8</v>
      </c>
      <c r="EM15" s="1079">
        <v>8</v>
      </c>
      <c r="EN15" s="1079">
        <v>8</v>
      </c>
      <c r="EO15" s="1079">
        <v>8</v>
      </c>
      <c r="EP15" s="1079">
        <v>8</v>
      </c>
      <c r="EQ15" s="1079">
        <v>8</v>
      </c>
      <c r="ER15" s="1079">
        <v>8</v>
      </c>
      <c r="ES15" s="1079">
        <v>8</v>
      </c>
      <c r="ET15" s="1079">
        <v>8</v>
      </c>
      <c r="EU15" s="1079">
        <v>8</v>
      </c>
      <c r="EV15" s="1079">
        <v>8</v>
      </c>
      <c r="EW15" s="1079">
        <v>8</v>
      </c>
      <c r="EX15" s="1079">
        <v>8</v>
      </c>
      <c r="EY15" s="1079">
        <v>8</v>
      </c>
      <c r="EZ15" s="1079">
        <v>8</v>
      </c>
      <c r="FA15" s="1079">
        <v>8</v>
      </c>
      <c r="FB15" s="1079">
        <v>8</v>
      </c>
      <c r="FC15" s="1079">
        <v>8</v>
      </c>
      <c r="FD15" s="1079">
        <v>8</v>
      </c>
      <c r="FE15" s="1079">
        <v>8</v>
      </c>
      <c r="FF15" s="1079">
        <v>8</v>
      </c>
      <c r="FG15" s="1079">
        <v>8</v>
      </c>
      <c r="FH15" s="1079">
        <v>8</v>
      </c>
      <c r="FI15" s="1079">
        <v>8</v>
      </c>
      <c r="FJ15" s="1079">
        <v>8</v>
      </c>
      <c r="FK15" s="1079">
        <v>8</v>
      </c>
      <c r="FL15" s="1079">
        <v>8</v>
      </c>
      <c r="FM15" s="1079">
        <v>8</v>
      </c>
      <c r="FN15" s="1079">
        <v>8</v>
      </c>
      <c r="FO15" s="1079">
        <v>8</v>
      </c>
      <c r="FP15" s="1079">
        <v>8</v>
      </c>
      <c r="FQ15" s="1079">
        <v>8</v>
      </c>
      <c r="FR15" s="1079">
        <v>8</v>
      </c>
      <c r="FS15" s="1079">
        <v>8</v>
      </c>
      <c r="FT15" s="1079">
        <v>8</v>
      </c>
      <c r="FU15" s="1079">
        <v>8</v>
      </c>
      <c r="FV15" s="1079">
        <v>8</v>
      </c>
      <c r="FW15" s="1079">
        <v>8</v>
      </c>
      <c r="FX15" s="1079">
        <v>8</v>
      </c>
      <c r="FY15" s="1079">
        <v>8</v>
      </c>
      <c r="FZ15" s="1079">
        <v>8</v>
      </c>
      <c r="GA15" s="1079">
        <v>8</v>
      </c>
      <c r="GB15" s="1079">
        <v>8</v>
      </c>
      <c r="GC15" s="1079">
        <v>8</v>
      </c>
      <c r="GD15" s="1079">
        <v>8</v>
      </c>
      <c r="GE15" s="1079">
        <v>8</v>
      </c>
      <c r="GF15" s="1079">
        <v>8</v>
      </c>
      <c r="GG15" s="1079">
        <v>8</v>
      </c>
      <c r="GH15" s="1079">
        <v>8</v>
      </c>
      <c r="GI15" s="1079">
        <v>8</v>
      </c>
      <c r="GJ15" s="1079">
        <v>8</v>
      </c>
      <c r="GK15" s="1079">
        <v>8</v>
      </c>
      <c r="GL15" s="1079">
        <v>8</v>
      </c>
      <c r="GM15" s="1079">
        <v>8</v>
      </c>
      <c r="GN15" s="1079">
        <v>8</v>
      </c>
      <c r="GO15" s="1079">
        <v>8</v>
      </c>
      <c r="GP15" s="1079">
        <v>8</v>
      </c>
      <c r="GQ15" s="1079">
        <v>8</v>
      </c>
      <c r="GR15" s="1079">
        <v>8</v>
      </c>
      <c r="GS15" s="1079">
        <v>8</v>
      </c>
      <c r="GT15" s="1079">
        <v>8</v>
      </c>
      <c r="GU15" s="1079">
        <v>8</v>
      </c>
      <c r="GV15" s="1079">
        <v>8</v>
      </c>
      <c r="GW15" s="1079">
        <v>8</v>
      </c>
      <c r="GX15" s="1079">
        <v>8</v>
      </c>
      <c r="GY15" s="1079">
        <v>8</v>
      </c>
      <c r="GZ15" s="1079">
        <v>8</v>
      </c>
      <c r="HA15" s="1079">
        <v>8</v>
      </c>
      <c r="HB15" s="1079">
        <v>8</v>
      </c>
      <c r="HC15" s="1079">
        <v>8</v>
      </c>
      <c r="HD15" s="1079">
        <v>8</v>
      </c>
      <c r="HE15" s="1079">
        <v>8</v>
      </c>
      <c r="HF15" s="1079">
        <v>8</v>
      </c>
      <c r="HG15" s="1079">
        <v>8</v>
      </c>
      <c r="HH15" s="1079">
        <v>8</v>
      </c>
      <c r="HI15" s="1079">
        <v>8</v>
      </c>
      <c r="HJ15" s="1079">
        <v>8</v>
      </c>
      <c r="HK15" s="1079">
        <v>8</v>
      </c>
      <c r="HL15" s="1079">
        <v>8</v>
      </c>
      <c r="HM15" s="1079">
        <v>8</v>
      </c>
      <c r="HN15" s="1079">
        <v>8</v>
      </c>
      <c r="HO15" s="1079">
        <v>8</v>
      </c>
      <c r="HP15" s="1079">
        <v>8</v>
      </c>
      <c r="HQ15" s="1079">
        <v>8</v>
      </c>
      <c r="HR15" s="1079">
        <v>8</v>
      </c>
      <c r="HS15" s="1079">
        <v>8</v>
      </c>
      <c r="HT15" s="1079">
        <v>8</v>
      </c>
      <c r="HU15" s="1079">
        <v>8</v>
      </c>
      <c r="HV15" s="1079">
        <v>8</v>
      </c>
      <c r="HW15" s="1079">
        <v>8</v>
      </c>
      <c r="HX15" s="1079">
        <v>8</v>
      </c>
      <c r="HY15" s="1079">
        <v>8</v>
      </c>
      <c r="HZ15" s="1079">
        <v>8</v>
      </c>
      <c r="IA15" s="1079">
        <v>8</v>
      </c>
      <c r="IB15" s="1079">
        <v>8</v>
      </c>
      <c r="IC15" s="1079">
        <v>8</v>
      </c>
      <c r="ID15" s="1079">
        <v>8</v>
      </c>
      <c r="IE15" s="1079">
        <v>8</v>
      </c>
      <c r="IF15" s="1079">
        <v>8</v>
      </c>
      <c r="IG15" s="1079">
        <v>8</v>
      </c>
      <c r="IH15" s="1079">
        <v>8</v>
      </c>
      <c r="II15" s="1079">
        <v>8</v>
      </c>
      <c r="IJ15" s="1079">
        <v>8</v>
      </c>
      <c r="IK15" s="1079">
        <v>8</v>
      </c>
      <c r="IL15" s="1079">
        <v>8</v>
      </c>
      <c r="IM15" s="1079">
        <v>8</v>
      </c>
      <c r="IN15" s="1079">
        <v>8</v>
      </c>
      <c r="IO15" s="1079">
        <v>8</v>
      </c>
      <c r="IP15" s="1079">
        <v>8</v>
      </c>
      <c r="IQ15" s="1079">
        <v>8</v>
      </c>
      <c r="IR15" s="1079">
        <v>8</v>
      </c>
      <c r="IS15" s="1079">
        <v>8</v>
      </c>
      <c r="IT15" s="1079">
        <v>8</v>
      </c>
      <c r="IU15" s="1079">
        <v>8</v>
      </c>
      <c r="IV15" s="1079">
        <v>8</v>
      </c>
      <c r="IW15" s="107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37"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0" customWidth="1"/>
    <col min="23" max="256" width="8" style="1559" customWidth="1"/>
    <col min="257" max="257" width="9.140625" style="1559" hidden="1"/>
  </cols>
  <sheetData>
    <row r="1" spans="1:257" ht="22.5" hidden="1" customHeight="1">
      <c r="IW1" s="1555" t="s">
        <v>1</v>
      </c>
    </row>
    <row r="2" spans="1:257" s="1745" customFormat="1" ht="22.5" hidden="1" customHeight="1">
      <c r="A2" s="759"/>
      <c r="B2" s="1290">
        <v>1</v>
      </c>
      <c r="C2" s="1290"/>
      <c r="D2" s="1820" t="s">
        <v>90</v>
      </c>
      <c r="E2" s="1799"/>
      <c r="F2" s="1801" t="str">
        <f>IF(ROIV_INFO_NAME="","",ROIV_INFO_NAME)</f>
        <v>ООО "Смоленскрегионтеплоэнерго"</v>
      </c>
      <c r="G2" s="1628" t="s">
        <v>15</v>
      </c>
      <c r="H2" s="1811"/>
      <c r="I2" s="1462"/>
      <c r="J2" s="746"/>
      <c r="K2" s="746"/>
      <c r="L2" s="163"/>
      <c r="M2" s="1459" t="e">
        <f ca="1">MERGEVALUE(F2)</f>
        <v>#NAME?</v>
      </c>
      <c r="N2" s="1560"/>
      <c r="O2" s="1560"/>
      <c r="P2" s="1548" t="str">
        <f t="array" ref="P2">IF(ISERROR(MATCH(MID(Q2,1,250),MID(note_ter,1,250),0)),"n","y")</f>
        <v>n</v>
      </c>
      <c r="Q2" s="1560"/>
      <c r="R2" s="1548" t="str">
        <f>G2&amp;"("&amp;L2&amp;")"</f>
        <v>()</v>
      </c>
      <c r="S2" s="1290"/>
      <c r="T2" s="1290"/>
      <c r="U2" s="354"/>
      <c r="V2" s="1290"/>
      <c r="W2" s="1290"/>
      <c r="X2" s="1290"/>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1566" customFormat="1" ht="5.25" hidden="1" customHeight="1">
      <c r="A3" s="1565"/>
      <c r="D3" s="1788"/>
      <c r="F3" s="183" t="s">
        <v>70</v>
      </c>
      <c r="G3" s="1631" t="s">
        <v>71</v>
      </c>
      <c r="H3" s="1788"/>
      <c r="I3" s="1788"/>
      <c r="J3" s="1788"/>
      <c r="K3" s="1788"/>
      <c r="L3" s="162" t="s">
        <v>72</v>
      </c>
      <c r="M3" s="183" t="s">
        <v>70</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60">
        <v>0</v>
      </c>
    </row>
    <row r="4" spans="1:257" s="1715" customFormat="1" ht="14.65" customHeight="1">
      <c r="A4" s="1555"/>
      <c r="B4" s="1290"/>
      <c r="C4" s="1555"/>
      <c r="D4" s="1439"/>
      <c r="E4" s="1559"/>
      <c r="F4" s="1559"/>
      <c r="G4" s="1559"/>
      <c r="H4" s="1559"/>
      <c r="I4" s="1559"/>
      <c r="J4" s="1559"/>
      <c r="K4" s="1559"/>
      <c r="L4" s="1790"/>
      <c r="M4" s="183"/>
      <c r="N4" s="1548"/>
      <c r="O4" s="1548"/>
      <c r="P4" s="1548"/>
      <c r="Q4" s="1548"/>
      <c r="R4" s="1548"/>
      <c r="S4" s="160"/>
      <c r="T4" s="160"/>
      <c r="U4" s="160"/>
      <c r="V4" s="160"/>
      <c r="IW4" s="1533">
        <v>14</v>
      </c>
    </row>
    <row r="5" spans="1:257" s="1715" customFormat="1" ht="27.4" customHeight="1">
      <c r="A5" s="1555"/>
      <c r="B5" s="1290"/>
      <c r="C5" s="1555"/>
      <c r="D5" s="1439"/>
      <c r="E5" s="387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874"/>
      <c r="G5" s="3874"/>
      <c r="H5" s="3874"/>
      <c r="I5" s="3874"/>
      <c r="J5" s="3874"/>
      <c r="K5" s="3874"/>
      <c r="L5" s="1559"/>
      <c r="M5" s="183"/>
      <c r="N5" s="1548"/>
      <c r="O5" s="1548"/>
      <c r="P5" s="1548"/>
      <c r="Q5" s="1548"/>
      <c r="R5" s="1548"/>
      <c r="S5" s="160"/>
      <c r="T5" s="160"/>
      <c r="U5" s="160"/>
      <c r="V5" s="160"/>
      <c r="IW5" s="1533">
        <v>26</v>
      </c>
    </row>
    <row r="6" spans="1:257" s="1715" customFormat="1" ht="14.65" customHeight="1">
      <c r="A6" s="1555"/>
      <c r="B6" s="1290"/>
      <c r="C6" s="1555"/>
      <c r="D6" s="1439"/>
      <c r="E6" s="1559"/>
      <c r="F6" s="550"/>
      <c r="G6" s="550"/>
      <c r="H6" s="550"/>
      <c r="I6" s="550"/>
      <c r="J6" s="550"/>
      <c r="K6" s="550"/>
      <c r="L6" s="1176"/>
      <c r="M6" s="1548"/>
      <c r="N6" s="1548"/>
      <c r="O6" s="1548"/>
      <c r="P6" s="1548"/>
      <c r="Q6" s="1548"/>
      <c r="R6" s="1548"/>
      <c r="S6" s="160"/>
      <c r="T6" s="160"/>
      <c r="U6" s="160"/>
      <c r="V6" s="160"/>
      <c r="IW6" s="1533">
        <v>14</v>
      </c>
    </row>
    <row r="7" spans="1:257" s="1715" customFormat="1" ht="14.65" customHeight="1">
      <c r="A7" s="1555"/>
      <c r="B7" s="1290"/>
      <c r="C7" s="1555"/>
      <c r="D7" s="1439"/>
      <c r="E7" s="3870" t="s">
        <v>508</v>
      </c>
      <c r="F7" s="3875"/>
      <c r="G7" s="3875"/>
      <c r="H7" s="3875"/>
      <c r="I7" s="3875"/>
      <c r="J7" s="3875"/>
      <c r="K7" s="3875"/>
      <c r="L7" s="4200" t="s">
        <v>509</v>
      </c>
      <c r="M7" s="1548"/>
      <c r="N7" s="1548"/>
      <c r="O7" s="1548"/>
      <c r="P7" s="1548"/>
      <c r="Q7" s="1548"/>
      <c r="R7" s="1548"/>
      <c r="S7" s="160"/>
      <c r="T7" s="160"/>
      <c r="U7" s="160"/>
      <c r="V7" s="160"/>
      <c r="IW7" s="1533">
        <v>14</v>
      </c>
    </row>
    <row r="8" spans="1:257" s="1715" customFormat="1" ht="67.150000000000006" customHeight="1">
      <c r="A8" s="1555"/>
      <c r="B8" s="1290"/>
      <c r="C8" s="1555"/>
      <c r="D8" s="1439"/>
      <c r="E8" s="4204" t="s">
        <v>75</v>
      </c>
      <c r="F8" s="4204" t="s">
        <v>2076</v>
      </c>
      <c r="G8" s="4206" t="s">
        <v>2077</v>
      </c>
      <c r="H8" s="4207"/>
      <c r="I8" s="4208"/>
      <c r="J8" s="4204" t="s">
        <v>2078</v>
      </c>
      <c r="K8" s="42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202"/>
      <c r="M8" s="1548"/>
      <c r="N8" s="1548"/>
      <c r="O8" s="1548"/>
      <c r="P8" s="1548"/>
      <c r="Q8" s="1548"/>
      <c r="R8" s="1548"/>
      <c r="S8" s="160"/>
      <c r="T8" s="160"/>
      <c r="U8" s="160"/>
      <c r="V8" s="160"/>
      <c r="IW8" s="1533">
        <v>64</v>
      </c>
    </row>
    <row r="9" spans="1:257" s="1715" customFormat="1" ht="29.25" customHeight="1">
      <c r="A9" s="1555"/>
      <c r="B9" s="1290"/>
      <c r="C9" s="1555"/>
      <c r="D9" s="1439"/>
      <c r="E9" s="4205"/>
      <c r="F9" s="4205"/>
      <c r="G9" s="1789" t="s">
        <v>2072</v>
      </c>
      <c r="H9" s="1789" t="s">
        <v>2073</v>
      </c>
      <c r="I9" s="1789" t="s">
        <v>2074</v>
      </c>
      <c r="J9" s="4205"/>
      <c r="K9" s="4205"/>
      <c r="L9" s="4201"/>
      <c r="M9" s="1548"/>
      <c r="N9" s="1548"/>
      <c r="O9" s="1548"/>
      <c r="P9" s="1548"/>
      <c r="Q9" s="1548"/>
      <c r="R9" s="1548"/>
      <c r="S9" s="160"/>
      <c r="T9" s="160"/>
      <c r="U9" s="160"/>
      <c r="V9" s="160"/>
      <c r="IW9" s="1533">
        <v>28</v>
      </c>
    </row>
    <row r="10" spans="1:257" s="1745" customFormat="1" ht="1.1499999999999999" customHeight="1">
      <c r="A10" s="3873"/>
      <c r="B10" s="1290">
        <v>1</v>
      </c>
      <c r="C10" s="1290"/>
      <c r="D10" s="728"/>
      <c r="E10" s="723">
        <v>0</v>
      </c>
      <c r="F10" s="1786" t="str">
        <f>IF(ROIV_INFO_NAME="","",ROIV_INFO_NAME)</f>
        <v>ООО "Смоленскрегионтеплоэнерго"</v>
      </c>
      <c r="G10" s="1629" t="s">
        <v>15</v>
      </c>
      <c r="H10" s="1798"/>
      <c r="I10" s="1798"/>
      <c r="J10" s="453"/>
      <c r="K10" s="453"/>
      <c r="L10" s="41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1560"/>
      <c r="O10" s="1560"/>
      <c r="P10" s="1548" t="str">
        <f t="array" ref="P10">IF(ISERROR(MATCH(MID(Q10,1,250),MID(note_ter,1,250),0)),"n","y")</f>
        <v>n</v>
      </c>
      <c r="Q10" s="1560"/>
      <c r="R10" s="15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0"/>
      <c r="T10" s="1290"/>
      <c r="U10" s="354"/>
      <c r="V10" s="1290"/>
      <c r="W10" s="1290"/>
      <c r="X10" s="1290"/>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1745" customFormat="1" ht="15.75" customHeight="1">
      <c r="A11" s="3873"/>
      <c r="B11" s="1290"/>
      <c r="C11" s="346"/>
      <c r="D11" s="729"/>
      <c r="E11" s="355"/>
      <c r="F11" s="585" t="s">
        <v>2075</v>
      </c>
      <c r="G11" s="122"/>
      <c r="H11" s="122"/>
      <c r="I11" s="122"/>
      <c r="J11" s="122"/>
      <c r="K11" s="358"/>
      <c r="L11" s="4203"/>
      <c r="M11" s="1460"/>
      <c r="N11" s="1560"/>
      <c r="O11" s="1560"/>
      <c r="P11" s="1560"/>
      <c r="Q11" s="1548"/>
      <c r="R11" s="1560"/>
      <c r="S11" s="1290"/>
      <c r="T11" s="1290"/>
      <c r="U11" s="354"/>
      <c r="V11" s="1290"/>
      <c r="W11" s="1290"/>
      <c r="X11" s="1290"/>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1715" customFormat="1" ht="21.95" customHeight="1">
      <c r="A12" s="1555"/>
      <c r="B12" s="1290"/>
      <c r="C12" s="1555"/>
      <c r="D12" s="1557"/>
      <c r="E12" s="115"/>
      <c r="F12" s="115"/>
      <c r="G12" s="115"/>
      <c r="H12" s="115"/>
      <c r="I12" s="115"/>
      <c r="J12" s="115"/>
      <c r="K12" s="115"/>
      <c r="L12" s="115"/>
      <c r="M12" s="1548"/>
      <c r="N12" s="1548"/>
      <c r="O12" s="1548"/>
      <c r="P12" s="1548"/>
      <c r="Q12" s="1548"/>
      <c r="R12" s="1548"/>
      <c r="S12" s="160"/>
      <c r="T12" s="160"/>
      <c r="U12" s="160"/>
      <c r="V12" s="160"/>
      <c r="IW12" s="1533">
        <v>21</v>
      </c>
    </row>
    <row r="13" spans="1:257" s="1715" customFormat="1" ht="14.65" customHeight="1">
      <c r="A13" s="1555"/>
      <c r="B13" s="1290"/>
      <c r="C13" s="1555"/>
      <c r="D13" s="1557"/>
      <c r="E13" s="1555"/>
      <c r="F13" s="1555"/>
      <c r="G13" s="1555"/>
      <c r="H13" s="1555"/>
      <c r="I13" s="1555"/>
      <c r="J13" s="1555"/>
      <c r="K13" s="1555"/>
      <c r="L13" s="1555"/>
      <c r="M13" s="1548"/>
      <c r="N13" s="1548"/>
      <c r="O13" s="1548"/>
      <c r="P13" s="1548"/>
      <c r="Q13" s="1548"/>
      <c r="R13" s="1548"/>
      <c r="S13" s="160"/>
      <c r="T13" s="160"/>
      <c r="U13" s="160"/>
      <c r="V13" s="160"/>
      <c r="IW13" s="1533">
        <v>14</v>
      </c>
    </row>
    <row r="14" spans="1:257" s="1715" customFormat="1" ht="1.1499999999999999" customHeight="1">
      <c r="A14" s="1555"/>
      <c r="B14" s="1290"/>
      <c r="C14" s="1555"/>
      <c r="D14" s="1557"/>
      <c r="E14" s="1555"/>
      <c r="F14" s="1555"/>
      <c r="G14" s="1555"/>
      <c r="H14" s="1555"/>
      <c r="I14" s="1555"/>
      <c r="J14" s="1555"/>
      <c r="K14" s="1555"/>
      <c r="L14" s="1555"/>
      <c r="M14" s="1548"/>
      <c r="N14" s="1548"/>
      <c r="O14" s="1548"/>
      <c r="P14" s="1548"/>
      <c r="Q14" s="1548"/>
      <c r="R14" s="1548"/>
      <c r="S14" s="160"/>
      <c r="T14" s="160"/>
      <c r="U14" s="160"/>
      <c r="V14" s="160"/>
      <c r="IW14" s="1533">
        <v>1</v>
      </c>
    </row>
    <row r="15" spans="1:257" ht="22.5" hidden="1" customHeight="1">
      <c r="A15" s="1555" t="s">
        <v>69</v>
      </c>
      <c r="B15" s="1290">
        <v>0</v>
      </c>
      <c r="C15" s="1555">
        <v>0</v>
      </c>
      <c r="D15" s="1557">
        <v>3</v>
      </c>
      <c r="E15" s="1555">
        <v>6</v>
      </c>
      <c r="F15" s="1555">
        <v>27</v>
      </c>
      <c r="G15" s="1555">
        <v>16</v>
      </c>
      <c r="H15" s="1555">
        <v>12</v>
      </c>
      <c r="I15" s="1555">
        <v>32</v>
      </c>
      <c r="J15" s="1555">
        <v>41</v>
      </c>
      <c r="K15" s="1555">
        <v>41</v>
      </c>
      <c r="L15" s="1555">
        <v>89</v>
      </c>
      <c r="M15" s="1548">
        <v>3</v>
      </c>
      <c r="N15" s="1548">
        <v>8</v>
      </c>
      <c r="O15" s="1548">
        <v>8</v>
      </c>
      <c r="P15" s="1548">
        <v>8</v>
      </c>
      <c r="Q15" s="1548">
        <v>25</v>
      </c>
      <c r="R15" s="1548">
        <v>14</v>
      </c>
      <c r="S15" s="160">
        <v>8</v>
      </c>
      <c r="T15" s="160">
        <v>8</v>
      </c>
      <c r="U15" s="160">
        <v>8</v>
      </c>
      <c r="V15" s="160">
        <v>8</v>
      </c>
      <c r="W15" s="1555">
        <v>8</v>
      </c>
      <c r="X15" s="1555">
        <v>8</v>
      </c>
      <c r="Y15" s="1555">
        <v>8</v>
      </c>
      <c r="Z15" s="1555">
        <v>8</v>
      </c>
      <c r="AA15" s="1555">
        <v>8</v>
      </c>
      <c r="AB15" s="1555">
        <v>8</v>
      </c>
      <c r="AC15" s="1555">
        <v>8</v>
      </c>
      <c r="AD15" s="1555">
        <v>8</v>
      </c>
      <c r="AE15" s="1555">
        <v>8</v>
      </c>
      <c r="AF15" s="1555">
        <v>8</v>
      </c>
      <c r="AG15" s="1555">
        <v>8</v>
      </c>
      <c r="AH15" s="1555">
        <v>8</v>
      </c>
      <c r="AI15" s="1555">
        <v>8</v>
      </c>
      <c r="AJ15" s="1555">
        <v>8</v>
      </c>
      <c r="AK15" s="1555">
        <v>8</v>
      </c>
      <c r="AL15" s="1555">
        <v>8</v>
      </c>
      <c r="AM15" s="1555">
        <v>8</v>
      </c>
      <c r="AN15" s="1555">
        <v>8</v>
      </c>
      <c r="AO15" s="1555">
        <v>8</v>
      </c>
      <c r="AP15" s="1555">
        <v>8</v>
      </c>
      <c r="AQ15" s="1555">
        <v>8</v>
      </c>
      <c r="AR15" s="1555">
        <v>8</v>
      </c>
      <c r="AS15" s="1555">
        <v>8</v>
      </c>
      <c r="AT15" s="1555">
        <v>8</v>
      </c>
      <c r="AU15" s="1555">
        <v>8</v>
      </c>
      <c r="AV15" s="1555">
        <v>8</v>
      </c>
      <c r="AW15" s="1555">
        <v>8</v>
      </c>
      <c r="AX15" s="1555">
        <v>8</v>
      </c>
      <c r="AY15" s="1555">
        <v>8</v>
      </c>
      <c r="AZ15" s="1555">
        <v>8</v>
      </c>
      <c r="BA15" s="1555">
        <v>8</v>
      </c>
      <c r="BB15" s="1555">
        <v>8</v>
      </c>
      <c r="BC15" s="1555">
        <v>8</v>
      </c>
      <c r="BD15" s="1555">
        <v>8</v>
      </c>
      <c r="BE15" s="1555">
        <v>8</v>
      </c>
      <c r="BF15" s="1555">
        <v>8</v>
      </c>
      <c r="BG15" s="1555">
        <v>8</v>
      </c>
      <c r="BH15" s="1555">
        <v>8</v>
      </c>
      <c r="BI15" s="1555">
        <v>8</v>
      </c>
      <c r="BJ15" s="1555">
        <v>8</v>
      </c>
      <c r="BK15" s="1555">
        <v>8</v>
      </c>
      <c r="BL15" s="1555">
        <v>8</v>
      </c>
      <c r="BM15" s="1555">
        <v>8</v>
      </c>
      <c r="BN15" s="1555">
        <v>8</v>
      </c>
      <c r="BO15" s="1555">
        <v>8</v>
      </c>
      <c r="BP15" s="1555">
        <v>8</v>
      </c>
      <c r="BQ15" s="1555">
        <v>8</v>
      </c>
      <c r="BR15" s="1555">
        <v>8</v>
      </c>
      <c r="BS15" s="1555">
        <v>8</v>
      </c>
      <c r="BT15" s="1555">
        <v>8</v>
      </c>
      <c r="BU15" s="1555">
        <v>8</v>
      </c>
      <c r="BV15" s="1555">
        <v>8</v>
      </c>
      <c r="BW15" s="1555">
        <v>8</v>
      </c>
      <c r="BX15" s="1555">
        <v>8</v>
      </c>
      <c r="BY15" s="1555">
        <v>8</v>
      </c>
      <c r="BZ15" s="1555">
        <v>8</v>
      </c>
      <c r="CA15" s="1555">
        <v>8</v>
      </c>
      <c r="CB15" s="1555">
        <v>8</v>
      </c>
      <c r="CC15" s="1555">
        <v>8</v>
      </c>
      <c r="CD15" s="1555">
        <v>8</v>
      </c>
      <c r="CE15" s="1555">
        <v>8</v>
      </c>
      <c r="CF15" s="1555">
        <v>8</v>
      </c>
      <c r="CG15" s="1555">
        <v>8</v>
      </c>
      <c r="CH15" s="1555">
        <v>8</v>
      </c>
      <c r="CI15" s="1555">
        <v>8</v>
      </c>
      <c r="CJ15" s="1555">
        <v>8</v>
      </c>
      <c r="CK15" s="1555">
        <v>8</v>
      </c>
      <c r="CL15" s="1555">
        <v>8</v>
      </c>
      <c r="CM15" s="1555">
        <v>8</v>
      </c>
      <c r="CN15" s="1555">
        <v>8</v>
      </c>
      <c r="CO15" s="1555">
        <v>8</v>
      </c>
      <c r="CP15" s="1555">
        <v>8</v>
      </c>
      <c r="CQ15" s="1555">
        <v>8</v>
      </c>
      <c r="CR15" s="1555">
        <v>8</v>
      </c>
      <c r="CS15" s="1555">
        <v>8</v>
      </c>
      <c r="CT15" s="1555">
        <v>8</v>
      </c>
      <c r="CU15" s="1555">
        <v>8</v>
      </c>
      <c r="CV15" s="1555">
        <v>8</v>
      </c>
      <c r="CW15" s="1555">
        <v>8</v>
      </c>
      <c r="CX15" s="1555">
        <v>8</v>
      </c>
      <c r="CY15" s="1555">
        <v>8</v>
      </c>
      <c r="CZ15" s="1555">
        <v>8</v>
      </c>
      <c r="DA15" s="1555">
        <v>8</v>
      </c>
      <c r="DB15" s="1555">
        <v>8</v>
      </c>
      <c r="DC15" s="1555">
        <v>8</v>
      </c>
      <c r="DD15" s="1555">
        <v>8</v>
      </c>
      <c r="DE15" s="1555">
        <v>8</v>
      </c>
      <c r="DF15" s="1555">
        <v>8</v>
      </c>
      <c r="DG15" s="1555">
        <v>8</v>
      </c>
      <c r="DH15" s="1555">
        <v>8</v>
      </c>
      <c r="DI15" s="1555">
        <v>8</v>
      </c>
      <c r="DJ15" s="1555">
        <v>8</v>
      </c>
      <c r="DK15" s="1555">
        <v>8</v>
      </c>
      <c r="DL15" s="1555">
        <v>8</v>
      </c>
      <c r="DM15" s="1555">
        <v>8</v>
      </c>
      <c r="DN15" s="1555">
        <v>8</v>
      </c>
      <c r="DO15" s="1555">
        <v>8</v>
      </c>
      <c r="DP15" s="1555">
        <v>8</v>
      </c>
      <c r="DQ15" s="1555">
        <v>8</v>
      </c>
      <c r="DR15" s="1555">
        <v>8</v>
      </c>
      <c r="DS15" s="1555">
        <v>8</v>
      </c>
      <c r="DT15" s="1555">
        <v>8</v>
      </c>
      <c r="DU15" s="1555">
        <v>8</v>
      </c>
      <c r="DV15" s="1555">
        <v>8</v>
      </c>
      <c r="DW15" s="1555">
        <v>8</v>
      </c>
      <c r="DX15" s="1555">
        <v>8</v>
      </c>
      <c r="DY15" s="1555">
        <v>8</v>
      </c>
      <c r="DZ15" s="1555">
        <v>8</v>
      </c>
      <c r="EA15" s="1555">
        <v>8</v>
      </c>
      <c r="EB15" s="1555">
        <v>8</v>
      </c>
      <c r="EC15" s="1555">
        <v>8</v>
      </c>
      <c r="ED15" s="1555">
        <v>8</v>
      </c>
      <c r="EE15" s="1555">
        <v>8</v>
      </c>
      <c r="EF15" s="1555">
        <v>8</v>
      </c>
      <c r="EG15" s="1555">
        <v>8</v>
      </c>
      <c r="EH15" s="1555">
        <v>8</v>
      </c>
      <c r="EI15" s="1555">
        <v>8</v>
      </c>
      <c r="EJ15" s="1555">
        <v>8</v>
      </c>
      <c r="EK15" s="1555">
        <v>8</v>
      </c>
      <c r="EL15" s="1555">
        <v>8</v>
      </c>
      <c r="EM15" s="1555">
        <v>8</v>
      </c>
      <c r="EN15" s="1555">
        <v>8</v>
      </c>
      <c r="EO15" s="1555">
        <v>8</v>
      </c>
      <c r="EP15" s="1555">
        <v>8</v>
      </c>
      <c r="EQ15" s="1555">
        <v>8</v>
      </c>
      <c r="ER15" s="1555">
        <v>8</v>
      </c>
      <c r="ES15" s="1555">
        <v>8</v>
      </c>
      <c r="ET15" s="1555">
        <v>8</v>
      </c>
      <c r="EU15" s="1555">
        <v>8</v>
      </c>
      <c r="EV15" s="1555">
        <v>8</v>
      </c>
      <c r="EW15" s="1555">
        <v>8</v>
      </c>
      <c r="EX15" s="1555">
        <v>8</v>
      </c>
      <c r="EY15" s="1555">
        <v>8</v>
      </c>
      <c r="EZ15" s="1555">
        <v>8</v>
      </c>
      <c r="FA15" s="1555">
        <v>8</v>
      </c>
      <c r="FB15" s="1555">
        <v>8</v>
      </c>
      <c r="FC15" s="1555">
        <v>8</v>
      </c>
      <c r="FD15" s="1555">
        <v>8</v>
      </c>
      <c r="FE15" s="1555">
        <v>8</v>
      </c>
      <c r="FF15" s="1555">
        <v>8</v>
      </c>
      <c r="FG15" s="1555">
        <v>8</v>
      </c>
      <c r="FH15" s="1555">
        <v>8</v>
      </c>
      <c r="FI15" s="1555">
        <v>8</v>
      </c>
      <c r="FJ15" s="1555">
        <v>8</v>
      </c>
      <c r="FK15" s="1555">
        <v>8</v>
      </c>
      <c r="FL15" s="1555">
        <v>8</v>
      </c>
      <c r="FM15" s="1555">
        <v>8</v>
      </c>
      <c r="FN15" s="1555">
        <v>8</v>
      </c>
      <c r="FO15" s="1555">
        <v>8</v>
      </c>
      <c r="FP15" s="1555">
        <v>8</v>
      </c>
      <c r="FQ15" s="1555">
        <v>8</v>
      </c>
      <c r="FR15" s="1555">
        <v>8</v>
      </c>
      <c r="FS15" s="1555">
        <v>8</v>
      </c>
      <c r="FT15" s="1555">
        <v>8</v>
      </c>
      <c r="FU15" s="1555">
        <v>8</v>
      </c>
      <c r="FV15" s="1555">
        <v>8</v>
      </c>
      <c r="FW15" s="1555">
        <v>8</v>
      </c>
      <c r="FX15" s="1555">
        <v>8</v>
      </c>
      <c r="FY15" s="1555">
        <v>8</v>
      </c>
      <c r="FZ15" s="1555">
        <v>8</v>
      </c>
      <c r="GA15" s="1555">
        <v>8</v>
      </c>
      <c r="GB15" s="1555">
        <v>8</v>
      </c>
      <c r="GC15" s="1555">
        <v>8</v>
      </c>
      <c r="GD15" s="1555">
        <v>8</v>
      </c>
      <c r="GE15" s="1555">
        <v>8</v>
      </c>
      <c r="GF15" s="1555">
        <v>8</v>
      </c>
      <c r="GG15" s="1555">
        <v>8</v>
      </c>
      <c r="GH15" s="1555">
        <v>8</v>
      </c>
      <c r="GI15" s="1555">
        <v>8</v>
      </c>
      <c r="GJ15" s="1555">
        <v>8</v>
      </c>
      <c r="GK15" s="1555">
        <v>8</v>
      </c>
      <c r="GL15" s="1555">
        <v>8</v>
      </c>
      <c r="GM15" s="1555">
        <v>8</v>
      </c>
      <c r="GN15" s="1555">
        <v>8</v>
      </c>
      <c r="GO15" s="1555">
        <v>8</v>
      </c>
      <c r="GP15" s="1555">
        <v>8</v>
      </c>
      <c r="GQ15" s="1555">
        <v>8</v>
      </c>
      <c r="GR15" s="1555">
        <v>8</v>
      </c>
      <c r="GS15" s="1555">
        <v>8</v>
      </c>
      <c r="GT15" s="1555">
        <v>8</v>
      </c>
      <c r="GU15" s="1555">
        <v>8</v>
      </c>
      <c r="GV15" s="1555">
        <v>8</v>
      </c>
      <c r="GW15" s="1555">
        <v>8</v>
      </c>
      <c r="GX15" s="1555">
        <v>8</v>
      </c>
      <c r="GY15" s="1555">
        <v>8</v>
      </c>
      <c r="GZ15" s="1555">
        <v>8</v>
      </c>
      <c r="HA15" s="1555">
        <v>8</v>
      </c>
      <c r="HB15" s="1555">
        <v>8</v>
      </c>
      <c r="HC15" s="1555">
        <v>8</v>
      </c>
      <c r="HD15" s="1555">
        <v>8</v>
      </c>
      <c r="HE15" s="1555">
        <v>8</v>
      </c>
      <c r="HF15" s="1555">
        <v>8</v>
      </c>
      <c r="HG15" s="1555">
        <v>8</v>
      </c>
      <c r="HH15" s="1555">
        <v>8</v>
      </c>
      <c r="HI15" s="1555">
        <v>8</v>
      </c>
      <c r="HJ15" s="1555">
        <v>8</v>
      </c>
      <c r="HK15" s="1555">
        <v>8</v>
      </c>
      <c r="HL15" s="1555">
        <v>8</v>
      </c>
      <c r="HM15" s="1555">
        <v>8</v>
      </c>
      <c r="HN15" s="1555">
        <v>8</v>
      </c>
      <c r="HO15" s="1555">
        <v>8</v>
      </c>
      <c r="HP15" s="1555">
        <v>8</v>
      </c>
      <c r="HQ15" s="1555">
        <v>8</v>
      </c>
      <c r="HR15" s="1555">
        <v>8</v>
      </c>
      <c r="HS15" s="1555">
        <v>8</v>
      </c>
      <c r="HT15" s="1555">
        <v>8</v>
      </c>
      <c r="HU15" s="1555">
        <v>8</v>
      </c>
      <c r="HV15" s="1555">
        <v>8</v>
      </c>
      <c r="HW15" s="1555">
        <v>8</v>
      </c>
      <c r="HX15" s="1555">
        <v>8</v>
      </c>
      <c r="HY15" s="1555">
        <v>8</v>
      </c>
      <c r="HZ15" s="1555">
        <v>8</v>
      </c>
      <c r="IA15" s="1555">
        <v>8</v>
      </c>
      <c r="IB15" s="1555">
        <v>8</v>
      </c>
      <c r="IC15" s="1555">
        <v>8</v>
      </c>
      <c r="ID15" s="1555">
        <v>8</v>
      </c>
      <c r="IE15" s="1555">
        <v>8</v>
      </c>
      <c r="IF15" s="1555">
        <v>8</v>
      </c>
      <c r="IG15" s="1555">
        <v>8</v>
      </c>
      <c r="IH15" s="1555">
        <v>8</v>
      </c>
      <c r="II15" s="1555">
        <v>8</v>
      </c>
      <c r="IJ15" s="1555">
        <v>8</v>
      </c>
      <c r="IK15" s="1555">
        <v>8</v>
      </c>
      <c r="IL15" s="1555">
        <v>8</v>
      </c>
      <c r="IM15" s="1555">
        <v>8</v>
      </c>
      <c r="IN15" s="1555">
        <v>8</v>
      </c>
      <c r="IO15" s="1555">
        <v>8</v>
      </c>
      <c r="IP15" s="1555">
        <v>8</v>
      </c>
      <c r="IQ15" s="1555">
        <v>8</v>
      </c>
      <c r="IR15" s="1555">
        <v>8</v>
      </c>
      <c r="IS15" s="1555">
        <v>8</v>
      </c>
      <c r="IT15" s="1555">
        <v>8</v>
      </c>
      <c r="IU15" s="1555">
        <v>8</v>
      </c>
      <c r="IV15" s="1555">
        <v>8</v>
      </c>
      <c r="IW15" s="155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37" customWidth="1"/>
    <col min="5" max="5" width="6" style="1559" customWidth="1"/>
    <col min="6" max="6" width="27" style="1559" customWidth="1"/>
    <col min="7" max="7" width="29" style="1559" customWidth="1"/>
    <col min="8" max="8" width="25" style="1559" customWidth="1"/>
    <col min="9" max="9" width="5" style="1559" customWidth="1"/>
    <col min="10" max="10" width="6" style="1559" customWidth="1"/>
    <col min="11" max="11" width="41" style="1559" customWidth="1"/>
    <col min="12" max="12" width="42" style="1559" customWidth="1"/>
    <col min="13" max="13" width="41" style="1559" customWidth="1"/>
    <col min="14" max="14" width="89" style="1559" customWidth="1"/>
    <col min="15" max="15" width="3" style="1548" customWidth="1"/>
    <col min="16" max="16" width="8" style="1548" customWidth="1"/>
    <col min="17" max="17" width="9.140625" style="1559" hidden="1"/>
  </cols>
  <sheetData>
    <row r="1" spans="1:17" ht="22.5" hidden="1" customHeight="1">
      <c r="Q1" s="1079" t="s">
        <v>1</v>
      </c>
    </row>
    <row r="2" spans="1:17" s="1745" customFormat="1" ht="22.5" hidden="1" customHeight="1">
      <c r="A2" s="430"/>
      <c r="B2" s="1084">
        <v>1</v>
      </c>
      <c r="C2" s="1084"/>
      <c r="D2" s="1820" t="s">
        <v>90</v>
      </c>
      <c r="E2" s="3889">
        <v>1</v>
      </c>
      <c r="F2" s="4072" t="str">
        <f>IF(region_name="","",region_name)</f>
        <v>Смоленская область</v>
      </c>
      <c r="G2" s="4217"/>
      <c r="H2" s="4218"/>
      <c r="I2" s="408"/>
      <c r="J2" s="1805">
        <v>1</v>
      </c>
      <c r="K2" s="1807"/>
      <c r="L2" s="1807"/>
      <c r="M2" s="1807"/>
      <c r="N2" s="426"/>
      <c r="O2" s="1459"/>
      <c r="P2" s="445"/>
      <c r="Q2" s="357">
        <v>0</v>
      </c>
    </row>
    <row r="3" spans="1:17" s="1745" customFormat="1" ht="22.5" hidden="1" customHeight="1">
      <c r="A3" s="759"/>
      <c r="B3" s="1084"/>
      <c r="C3" s="1084"/>
      <c r="D3" s="729"/>
      <c r="E3" s="3889"/>
      <c r="F3" s="4072"/>
      <c r="G3" s="4217"/>
      <c r="H3" s="4219"/>
      <c r="I3" s="355"/>
      <c r="J3" s="1424"/>
      <c r="K3" s="1424" t="s">
        <v>2079</v>
      </c>
      <c r="L3" s="1467"/>
      <c r="M3" s="1815"/>
      <c r="N3" s="1808"/>
      <c r="O3" s="1459"/>
      <c r="P3" s="445"/>
      <c r="Q3" s="357">
        <v>0</v>
      </c>
    </row>
    <row r="4" spans="1:17" s="1566" customFormat="1" ht="5.25" hidden="1" customHeight="1">
      <c r="A4" s="430"/>
      <c r="D4" s="428"/>
      <c r="F4" s="182" t="s">
        <v>70</v>
      </c>
      <c r="G4" s="428" t="s">
        <v>71</v>
      </c>
      <c r="H4" s="428"/>
      <c r="I4" s="1818"/>
      <c r="J4" s="1468"/>
      <c r="K4" s="1806"/>
      <c r="L4" s="1806"/>
      <c r="M4" s="1806"/>
      <c r="N4" s="1802"/>
      <c r="O4" s="182" t="s">
        <v>70</v>
      </c>
      <c r="P4" s="182"/>
      <c r="Q4" s="445">
        <v>0</v>
      </c>
    </row>
    <row r="5" spans="1:17" s="1745" customFormat="1" ht="22.5" hidden="1" customHeight="1">
      <c r="A5" s="1565"/>
      <c r="B5" s="1290">
        <v>1</v>
      </c>
      <c r="C5" s="1290"/>
      <c r="D5" s="729"/>
      <c r="E5" s="1808"/>
      <c r="F5" s="1808"/>
      <c r="G5" s="1808"/>
      <c r="H5" s="1819"/>
      <c r="I5" s="1821" t="s">
        <v>90</v>
      </c>
      <c r="J5" s="1817">
        <v>1</v>
      </c>
      <c r="K5" s="1807"/>
      <c r="L5" s="1807"/>
      <c r="M5" s="1807"/>
      <c r="N5" s="426"/>
      <c r="O5" s="1459"/>
      <c r="P5" s="1560"/>
      <c r="Q5" s="558">
        <v>0</v>
      </c>
    </row>
    <row r="6" spans="1:17" s="1715" customFormat="1" ht="14.65" customHeight="1">
      <c r="A6" s="1079"/>
      <c r="B6" s="1084"/>
      <c r="C6" s="1079"/>
      <c r="D6" s="1419"/>
      <c r="E6" s="443"/>
      <c r="F6" s="443"/>
      <c r="G6" s="443"/>
      <c r="H6" s="443"/>
      <c r="I6" s="443"/>
      <c r="J6" s="443"/>
      <c r="K6" s="443"/>
      <c r="L6" s="443"/>
      <c r="M6" s="443"/>
      <c r="N6" s="1559"/>
      <c r="O6" s="182"/>
      <c r="P6" s="434"/>
      <c r="Q6" s="441">
        <v>14</v>
      </c>
    </row>
    <row r="7" spans="1:17" s="1715" customFormat="1" ht="27.4" customHeight="1">
      <c r="A7" s="1079"/>
      <c r="B7" s="1084"/>
      <c r="C7" s="1079"/>
      <c r="D7" s="1419"/>
      <c r="E7" s="421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4211"/>
      <c r="G7" s="4211"/>
      <c r="H7" s="4211"/>
      <c r="I7" s="4211"/>
      <c r="J7" s="4211"/>
      <c r="K7" s="4211"/>
      <c r="L7" s="4211"/>
      <c r="M7" s="4211"/>
      <c r="N7" s="1176"/>
      <c r="O7" s="182"/>
      <c r="P7" s="434"/>
      <c r="Q7" s="441">
        <v>26</v>
      </c>
    </row>
    <row r="8" spans="1:17" s="1715" customFormat="1" ht="14.65" customHeight="1">
      <c r="A8" s="1079"/>
      <c r="B8" s="1084"/>
      <c r="C8" s="1079"/>
      <c r="D8" s="1419"/>
      <c r="E8" s="443"/>
      <c r="F8" s="102"/>
      <c r="G8" s="102"/>
      <c r="H8" s="102"/>
      <c r="I8" s="102"/>
      <c r="J8" s="102"/>
      <c r="K8" s="102"/>
      <c r="L8" s="102"/>
      <c r="M8" s="102"/>
      <c r="N8" s="550"/>
      <c r="O8" s="434"/>
      <c r="P8" s="434"/>
      <c r="Q8" s="441">
        <v>14</v>
      </c>
    </row>
    <row r="9" spans="1:17" s="1470" customFormat="1" ht="14.25" hidden="1" customHeight="1">
      <c r="A9" s="1392"/>
      <c r="B9" s="1402"/>
      <c r="C9" s="1392"/>
      <c r="D9" s="1419"/>
      <c r="E9" s="1809"/>
      <c r="F9" s="1809"/>
      <c r="G9" s="1809"/>
      <c r="H9" s="1809"/>
      <c r="I9" s="4214"/>
      <c r="J9" s="4214"/>
      <c r="K9" s="4214"/>
      <c r="L9" s="1809"/>
      <c r="M9" s="1810"/>
      <c r="O9" s="1469"/>
      <c r="P9" s="1469"/>
      <c r="Q9" s="1470">
        <v>0</v>
      </c>
    </row>
    <row r="10" spans="1:17" s="1715" customFormat="1" ht="14.65" customHeight="1">
      <c r="A10" s="1079"/>
      <c r="B10" s="1084"/>
      <c r="C10" s="1079"/>
      <c r="D10" s="1419"/>
      <c r="E10" s="3889" t="s">
        <v>508</v>
      </c>
      <c r="F10" s="3889"/>
      <c r="G10" s="3889"/>
      <c r="H10" s="3889"/>
      <c r="I10" s="3889"/>
      <c r="J10" s="3889"/>
      <c r="K10" s="3889"/>
      <c r="L10" s="3889"/>
      <c r="M10" s="3870"/>
      <c r="N10" s="4204" t="s">
        <v>509</v>
      </c>
      <c r="O10" s="434"/>
      <c r="P10" s="434"/>
      <c r="Q10" s="441">
        <v>14</v>
      </c>
    </row>
    <row r="11" spans="1:17" s="1715" customFormat="1" ht="44.25" customHeight="1">
      <c r="A11" s="1555"/>
      <c r="B11" s="1290"/>
      <c r="C11" s="1555"/>
      <c r="D11" s="1439"/>
      <c r="E11" s="4213" t="s">
        <v>75</v>
      </c>
      <c r="F11" s="4213" t="s">
        <v>512</v>
      </c>
      <c r="G11" s="4213" t="s">
        <v>2080</v>
      </c>
      <c r="H11" s="4213"/>
      <c r="I11" s="4213" t="s">
        <v>2081</v>
      </c>
      <c r="J11" s="4213"/>
      <c r="K11" s="4213"/>
      <c r="L11" s="4213" t="s">
        <v>2082</v>
      </c>
      <c r="M11" s="4206" t="s">
        <v>2083</v>
      </c>
      <c r="N11" s="4212"/>
      <c r="O11" s="1548"/>
      <c r="P11" s="1548"/>
      <c r="Q11" s="1533">
        <v>42</v>
      </c>
    </row>
    <row r="12" spans="1:17" s="1715" customFormat="1" ht="29.25" customHeight="1">
      <c r="A12" s="1079"/>
      <c r="B12" s="1084"/>
      <c r="C12" s="1079"/>
      <c r="D12" s="1419"/>
      <c r="E12" s="4204"/>
      <c r="F12" s="4213"/>
      <c r="G12" s="1804" t="s">
        <v>2084</v>
      </c>
      <c r="H12" s="1804" t="s">
        <v>516</v>
      </c>
      <c r="I12" s="4213"/>
      <c r="J12" s="4213"/>
      <c r="K12" s="4213"/>
      <c r="L12" s="4213"/>
      <c r="M12" s="4206"/>
      <c r="N12" s="4205"/>
      <c r="O12" s="434"/>
      <c r="P12" s="434"/>
      <c r="Q12" s="441">
        <v>28</v>
      </c>
    </row>
    <row r="13" spans="1:17" s="1745" customFormat="1" ht="23.25" customHeight="1">
      <c r="A13" s="3873">
        <v>26379339</v>
      </c>
      <c r="B13" s="1084">
        <v>1</v>
      </c>
      <c r="C13" s="1084"/>
      <c r="D13" s="729"/>
      <c r="E13" s="3889">
        <v>1</v>
      </c>
      <c r="F13" s="4220" t="str">
        <f>IF(region_name="","",region_name)</f>
        <v>Смоленская область</v>
      </c>
      <c r="G13" s="4221"/>
      <c r="H13" s="4215"/>
      <c r="I13" s="408"/>
      <c r="J13" s="1800">
        <v>1</v>
      </c>
      <c r="K13" s="1813"/>
      <c r="L13" s="1814"/>
      <c r="M13" s="1814"/>
      <c r="N13" s="4209" t="s">
        <v>2085</v>
      </c>
      <c r="O13" s="1459"/>
      <c r="P13" s="445"/>
      <c r="Q13" s="357">
        <v>22</v>
      </c>
    </row>
    <row r="14" spans="1:17" s="1745" customFormat="1" ht="23.25" customHeight="1">
      <c r="A14" s="3873"/>
      <c r="B14" s="1084"/>
      <c r="C14" s="1084"/>
      <c r="D14" s="729"/>
      <c r="E14" s="3889"/>
      <c r="F14" s="4220"/>
      <c r="G14" s="4221"/>
      <c r="H14" s="4216"/>
      <c r="I14" s="355"/>
      <c r="J14" s="1424"/>
      <c r="K14" s="1424" t="s">
        <v>2079</v>
      </c>
      <c r="L14" s="1467"/>
      <c r="M14" s="1467"/>
      <c r="N14" s="4210"/>
      <c r="O14" s="1459"/>
      <c r="P14" s="445"/>
      <c r="Q14" s="357">
        <v>22</v>
      </c>
    </row>
    <row r="15" spans="1:17" s="1745" customFormat="1" ht="23.25" customHeight="1">
      <c r="A15" s="3873"/>
      <c r="B15" s="1084"/>
      <c r="C15" s="346"/>
      <c r="D15" s="729"/>
      <c r="E15" s="355"/>
      <c r="F15" s="1424" t="s">
        <v>2071</v>
      </c>
      <c r="G15" s="1466"/>
      <c r="H15" s="1466"/>
      <c r="I15" s="122"/>
      <c r="J15" s="122"/>
      <c r="K15" s="122"/>
      <c r="L15" s="122"/>
      <c r="M15" s="122"/>
      <c r="N15" s="4210"/>
      <c r="O15" s="1460"/>
      <c r="P15" s="445"/>
      <c r="Q15" s="357">
        <v>22</v>
      </c>
    </row>
    <row r="16" spans="1:17" s="1715" customFormat="1" ht="21.95" customHeight="1">
      <c r="A16" s="1079"/>
      <c r="B16" s="1084"/>
      <c r="C16" s="1079"/>
      <c r="D16" s="385"/>
      <c r="E16" s="115"/>
      <c r="F16" s="115"/>
      <c r="G16" s="115"/>
      <c r="H16" s="115"/>
      <c r="I16" s="115"/>
      <c r="J16" s="115"/>
      <c r="K16" s="115"/>
      <c r="L16" s="115"/>
      <c r="M16" s="443"/>
      <c r="N16" s="1559"/>
      <c r="O16" s="434"/>
      <c r="P16" s="434"/>
      <c r="Q16" s="441">
        <v>21</v>
      </c>
    </row>
    <row r="17" spans="1:17" s="1715" customFormat="1" ht="14.65" customHeight="1">
      <c r="A17" s="1079"/>
      <c r="B17" s="1084"/>
      <c r="C17" s="1079"/>
      <c r="D17" s="385"/>
      <c r="E17" s="1079"/>
      <c r="F17" s="1079"/>
      <c r="G17" s="1079"/>
      <c r="H17" s="1079"/>
      <c r="I17" s="1079"/>
      <c r="J17" s="1079"/>
      <c r="K17" s="1079"/>
      <c r="L17" s="1079"/>
      <c r="M17" s="1079"/>
      <c r="N17" s="1555"/>
      <c r="O17" s="434"/>
      <c r="P17" s="434"/>
      <c r="Q17" s="441">
        <v>14</v>
      </c>
    </row>
    <row r="18" spans="1:17" s="1715" customFormat="1" ht="1.1499999999999999" customHeight="1">
      <c r="A18" s="1079"/>
      <c r="B18" s="1084"/>
      <c r="C18" s="1079"/>
      <c r="D18" s="385"/>
      <c r="E18" s="1079"/>
      <c r="F18" s="1079"/>
      <c r="G18" s="1079"/>
      <c r="H18" s="1079"/>
      <c r="I18" s="1079"/>
      <c r="J18" s="1079"/>
      <c r="K18" s="1079"/>
      <c r="L18" s="1079"/>
      <c r="M18" s="1079"/>
      <c r="N18" s="1555"/>
      <c r="O18" s="434"/>
      <c r="P18" s="434"/>
      <c r="Q18" s="441">
        <v>1</v>
      </c>
    </row>
    <row r="19" spans="1:17" ht="22.5" hidden="1" customHeight="1">
      <c r="A19" s="1079" t="s">
        <v>69</v>
      </c>
      <c r="B19" s="1084">
        <v>0</v>
      </c>
      <c r="C19" s="1079">
        <v>0</v>
      </c>
      <c r="D19" s="385">
        <v>3</v>
      </c>
      <c r="E19" s="1079">
        <v>6</v>
      </c>
      <c r="F19" s="1079">
        <v>27</v>
      </c>
      <c r="G19" s="1079">
        <v>29</v>
      </c>
      <c r="H19" s="1079">
        <v>25</v>
      </c>
      <c r="I19" s="1079">
        <v>5</v>
      </c>
      <c r="J19" s="1079">
        <v>6</v>
      </c>
      <c r="K19" s="1079">
        <v>41</v>
      </c>
      <c r="L19" s="1079">
        <v>42</v>
      </c>
      <c r="M19" s="1079">
        <v>41</v>
      </c>
      <c r="N19" s="1555">
        <v>89</v>
      </c>
      <c r="O19" s="434">
        <v>3</v>
      </c>
      <c r="P19" s="434">
        <v>8</v>
      </c>
      <c r="Q19" s="1079">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2" hidden="1"/>
    <col min="2" max="2" width="9.140625" style="1718" hidden="1"/>
    <col min="3" max="3" width="3" style="58" customWidth="1"/>
    <col min="4" max="4" width="6" style="1718" customWidth="1"/>
    <col min="5" max="5" width="22" style="1718" customWidth="1"/>
    <col min="6" max="6" width="15" style="1718" customWidth="1"/>
    <col min="7" max="7" width="14" style="1718" customWidth="1"/>
    <col min="8" max="8" width="47" style="1718" customWidth="1"/>
    <col min="9" max="9" width="115" style="1718" customWidth="1"/>
    <col min="10" max="10" width="3" style="1718" customWidth="1"/>
    <col min="11" max="12" width="8" style="1718" customWidth="1"/>
    <col min="13" max="13" width="9.140625" style="1718" hidden="1"/>
  </cols>
  <sheetData>
    <row r="1" spans="1:13" ht="14.25" hidden="1" customHeight="1">
      <c r="M1" s="59" t="s">
        <v>1</v>
      </c>
    </row>
    <row r="2" spans="1:13" ht="14.25" hidden="1" customHeight="1">
      <c r="M2" s="59">
        <v>0</v>
      </c>
    </row>
    <row r="3" spans="1:13" ht="14.25" hidden="1" customHeight="1">
      <c r="M3" s="59">
        <v>0</v>
      </c>
    </row>
    <row r="4" spans="1:13" ht="3" customHeight="1">
      <c r="M4" s="59">
        <v>3</v>
      </c>
    </row>
    <row r="5" spans="1:13" s="1559" customFormat="1" ht="31.5" customHeight="1">
      <c r="A5" s="53"/>
      <c r="C5" s="29"/>
      <c r="D5" s="3874" t="s">
        <v>2086</v>
      </c>
      <c r="E5" s="3874"/>
      <c r="F5" s="3874"/>
      <c r="G5" s="3874"/>
      <c r="H5" s="3874"/>
      <c r="I5" s="200"/>
      <c r="M5" s="22">
        <v>30</v>
      </c>
    </row>
    <row r="6" spans="1:13" ht="3" hidden="1" customHeight="1">
      <c r="D6" s="60"/>
      <c r="E6" s="60"/>
      <c r="F6" s="60"/>
      <c r="G6" s="60"/>
      <c r="H6" s="60"/>
      <c r="I6" s="60"/>
      <c r="M6" s="59">
        <v>0</v>
      </c>
    </row>
    <row r="7" spans="1:13" s="292" customFormat="1" ht="14.65" customHeight="1">
      <c r="B7" s="57"/>
      <c r="C7" s="58"/>
      <c r="D7" s="61"/>
      <c r="E7" s="61"/>
      <c r="F7" s="61"/>
      <c r="G7" s="61"/>
      <c r="H7" s="686"/>
      <c r="I7" s="61"/>
      <c r="J7" s="62"/>
      <c r="M7" s="56">
        <v>14</v>
      </c>
    </row>
    <row r="8" spans="1:13" ht="14.65" customHeight="1">
      <c r="D8" s="3995" t="s">
        <v>508</v>
      </c>
      <c r="E8" s="3995"/>
      <c r="F8" s="3995"/>
      <c r="G8" s="3995"/>
      <c r="H8" s="3995"/>
      <c r="I8" s="3995" t="s">
        <v>509</v>
      </c>
      <c r="M8" s="59">
        <v>14</v>
      </c>
    </row>
    <row r="9" spans="1:13" ht="29.25" customHeight="1">
      <c r="D9" s="3995" t="s">
        <v>75</v>
      </c>
      <c r="E9" s="3995" t="s">
        <v>2087</v>
      </c>
      <c r="F9" s="3995"/>
      <c r="G9" s="3995"/>
      <c r="H9" s="3995"/>
      <c r="I9" s="3995"/>
      <c r="M9" s="59">
        <v>28</v>
      </c>
    </row>
    <row r="10" spans="1:13" ht="24" customHeight="1">
      <c r="D10" s="3995"/>
      <c r="E10" s="65" t="s">
        <v>2088</v>
      </c>
      <c r="F10" s="65" t="s">
        <v>2089</v>
      </c>
      <c r="G10" s="65" t="s">
        <v>2090</v>
      </c>
      <c r="H10" s="65" t="s">
        <v>598</v>
      </c>
      <c r="I10" s="3995"/>
      <c r="M10" s="59">
        <v>23</v>
      </c>
    </row>
    <row r="11" spans="1:13" ht="12" hidden="1" customHeight="1">
      <c r="D11" s="26" t="s">
        <v>184</v>
      </c>
      <c r="E11" s="26" t="s">
        <v>78</v>
      </c>
      <c r="F11" s="26" t="s">
        <v>115</v>
      </c>
      <c r="G11" s="26" t="s">
        <v>79</v>
      </c>
      <c r="H11" s="26" t="s">
        <v>80</v>
      </c>
      <c r="I11" s="26" t="s">
        <v>134</v>
      </c>
      <c r="M11" s="59">
        <v>0</v>
      </c>
    </row>
    <row r="12" spans="1:13" s="1718" customFormat="1" ht="26.25" customHeight="1">
      <c r="A12" s="81" t="s">
        <v>77</v>
      </c>
      <c r="B12" s="63" t="s">
        <v>15</v>
      </c>
      <c r="C12" s="64"/>
      <c r="D12" s="66" t="s">
        <v>184</v>
      </c>
      <c r="E12" s="315"/>
      <c r="F12" s="315"/>
      <c r="G12" s="1630" t="s">
        <v>15</v>
      </c>
      <c r="H12" s="316"/>
      <c r="I12" s="3935" t="s">
        <v>2091</v>
      </c>
      <c r="K12" s="207"/>
      <c r="L12" s="208"/>
      <c r="M12" s="55">
        <v>25</v>
      </c>
    </row>
    <row r="13" spans="1:13" ht="15.75" customHeight="1">
      <c r="A13" s="59"/>
      <c r="B13" s="59"/>
      <c r="C13" s="59"/>
      <c r="D13" s="47"/>
      <c r="E13" s="68" t="s">
        <v>677</v>
      </c>
      <c r="F13" s="67"/>
      <c r="G13" s="67"/>
      <c r="H13" s="149"/>
      <c r="I13" s="3937"/>
      <c r="M13" s="59">
        <v>15</v>
      </c>
    </row>
    <row r="14" spans="1:13" ht="3" customHeight="1">
      <c r="A14" s="59"/>
      <c r="B14" s="59"/>
      <c r="C14" s="59"/>
      <c r="M14" s="59">
        <v>3</v>
      </c>
    </row>
    <row r="15" spans="1:13" ht="29.25" customHeight="1">
      <c r="E15" s="4222" t="s">
        <v>2092</v>
      </c>
      <c r="F15" s="4222"/>
      <c r="G15" s="4222"/>
      <c r="H15" s="4222"/>
      <c r="M15" s="59">
        <v>28</v>
      </c>
    </row>
    <row r="16" spans="1:13" ht="14.25" hidden="1" customHeight="1">
      <c r="A16" s="56" t="s">
        <v>69</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99" hidden="1"/>
    <col min="3" max="3" width="3" style="30" customWidth="1"/>
    <col min="4" max="4" width="6" style="199" customWidth="1"/>
    <col min="5" max="5" width="94" style="199" customWidth="1"/>
    <col min="6" max="9" width="8" style="199" customWidth="1"/>
    <col min="10" max="10" width="9.140625" style="199"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4223" t="s">
        <v>2093</v>
      </c>
      <c r="E7" s="4224"/>
      <c r="F7" s="202"/>
      <c r="J7" s="8">
        <v>22</v>
      </c>
    </row>
    <row r="8" spans="1:10" ht="3" customHeight="1">
      <c r="C8" s="31"/>
      <c r="D8" s="9"/>
      <c r="E8" s="9"/>
      <c r="J8" s="8">
        <v>3</v>
      </c>
    </row>
    <row r="9" spans="1:10" ht="16.899999999999999" customHeight="1">
      <c r="C9" s="31"/>
      <c r="D9" s="44" t="s">
        <v>75</v>
      </c>
      <c r="E9" s="195" t="s">
        <v>2094</v>
      </c>
      <c r="J9" s="8">
        <v>16</v>
      </c>
    </row>
    <row r="10" spans="1:10" ht="1.1499999999999999" customHeight="1">
      <c r="C10" s="31"/>
      <c r="D10" s="26"/>
      <c r="E10" s="26"/>
      <c r="J10" s="8">
        <v>1</v>
      </c>
    </row>
    <row r="11" spans="1:10" ht="11.25" hidden="1" customHeight="1">
      <c r="C11" s="31"/>
      <c r="D11" s="85">
        <v>0</v>
      </c>
      <c r="E11" s="196"/>
      <c r="J11" s="8">
        <v>0</v>
      </c>
    </row>
    <row r="12" spans="1:10" ht="15.75" customHeight="1">
      <c r="C12" s="73"/>
      <c r="D12" s="51">
        <v>1</v>
      </c>
      <c r="E12" s="311"/>
      <c r="J12" s="8">
        <v>15</v>
      </c>
    </row>
    <row r="13" spans="1:10" ht="12.75" customHeight="1">
      <c r="C13" s="31"/>
      <c r="D13" s="197"/>
      <c r="E13" s="198" t="s">
        <v>2095</v>
      </c>
      <c r="J13" s="8">
        <v>12</v>
      </c>
    </row>
    <row r="14" spans="1:10" ht="3" customHeight="1">
      <c r="J14" s="8">
        <v>3</v>
      </c>
    </row>
    <row r="15" spans="1:10" ht="23.25" customHeight="1">
      <c r="C15" s="74"/>
      <c r="D15" s="4222" t="s">
        <v>2096</v>
      </c>
      <c r="E15" s="4222"/>
      <c r="F15" s="75"/>
      <c r="G15" s="75"/>
      <c r="H15" s="75"/>
      <c r="I15" s="75"/>
      <c r="J15" s="8">
        <v>22</v>
      </c>
    </row>
    <row r="16" spans="1:10" ht="14.25" hidden="1" customHeight="1">
      <c r="A16" s="8" t="s">
        <v>69</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5" customWidth="1"/>
    <col min="2" max="2" width="34.5703125" style="1745" customWidth="1"/>
    <col min="3" max="3" width="85" style="1745" customWidth="1"/>
    <col min="4" max="4" width="17" style="1745" customWidth="1"/>
    <col min="5" max="5" width="8" style="1745" customWidth="1"/>
    <col min="6" max="6" width="9.140625" style="1745" hidden="1"/>
  </cols>
  <sheetData>
    <row r="1" spans="1:6" ht="3" customHeight="1">
      <c r="F1" s="28" t="s">
        <v>1</v>
      </c>
    </row>
    <row r="2" spans="1:6" ht="22.5" customHeight="1">
      <c r="B2" s="4225" t="s">
        <v>2097</v>
      </c>
      <c r="C2" s="4225"/>
      <c r="D2" s="4225"/>
      <c r="E2" s="203"/>
      <c r="F2" s="28">
        <v>22</v>
      </c>
    </row>
    <row r="3" spans="1:6" ht="3" customHeight="1">
      <c r="F3" s="28">
        <v>3</v>
      </c>
    </row>
    <row r="4" spans="1:6" ht="23.25" customHeight="1">
      <c r="B4" s="1980" t="s">
        <v>2098</v>
      </c>
      <c r="C4" s="317" t="s">
        <v>2099</v>
      </c>
      <c r="D4" s="317" t="s">
        <v>2100</v>
      </c>
      <c r="F4" s="28">
        <v>22</v>
      </c>
    </row>
    <row r="5" spans="1:6" ht="11.25" hidden="1" customHeight="1">
      <c r="A5" s="28" t="s">
        <v>69</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5" customWidth="1"/>
    <col min="2" max="2" width="10" style="1745" customWidth="1"/>
    <col min="3" max="3" width="9.140625" style="1745"/>
    <col min="4" max="4" width="11.140625" style="1745" customWidth="1"/>
    <col min="5" max="5" width="16.5703125" style="1745" customWidth="1"/>
    <col min="6" max="6" width="16.28515625" style="1745" customWidth="1"/>
    <col min="7" max="7" width="19.140625" style="1745" customWidth="1"/>
    <col min="8" max="11" width="10" style="1745" customWidth="1"/>
    <col min="12" max="12" width="12.7109375" style="1745" customWidth="1"/>
    <col min="13" max="13" width="61.28515625" style="1745" customWidth="1"/>
    <col min="14" max="14" width="10" style="1745" customWidth="1"/>
    <col min="15" max="17" width="23.7109375" style="1745" customWidth="1"/>
    <col min="18" max="18" width="11.7109375" style="1745" customWidth="1"/>
    <col min="19" max="19" width="8.5703125" style="1745" customWidth="1"/>
    <col min="20" max="20" width="11.7109375" style="1745" customWidth="1"/>
    <col min="21" max="21" width="8.5703125" style="1745" customWidth="1"/>
    <col min="22" max="22" width="4.7109375" style="1745" customWidth="1"/>
    <col min="23" max="23" width="115.7109375" style="1745" customWidth="1"/>
    <col min="24" max="24" width="115.28515625" style="1745" customWidth="1"/>
    <col min="25" max="27" width="9.140625" style="1745"/>
    <col min="28" max="28" width="115.7109375" style="1745" customWidth="1"/>
    <col min="29" max="29" width="9.140625" style="1745"/>
    <col min="30" max="90" width="115.7109375" style="1745" customWidth="1"/>
    <col min="91" max="184" width="9.140625" style="1745"/>
  </cols>
  <sheetData>
    <row r="2" spans="1:80" s="1711" customFormat="1" ht="17.25" customHeight="1">
      <c r="A2" s="1711" t="s">
        <v>2101</v>
      </c>
    </row>
    <row r="4" spans="1:80" s="199" customFormat="1" ht="15" customHeight="1">
      <c r="C4" s="1712"/>
      <c r="D4" s="51"/>
      <c r="E4" s="311"/>
    </row>
    <row r="6" spans="1:80" s="1711" customFormat="1" ht="17.25" customHeight="1">
      <c r="A6" s="1711" t="s">
        <v>2102</v>
      </c>
    </row>
    <row r="8" spans="1:80" s="199" customFormat="1" ht="17.25" customHeight="1">
      <c r="C8" s="1713"/>
      <c r="D8" s="51"/>
      <c r="E8" s="52"/>
    </row>
    <row r="11" spans="1:80" s="1711" customFormat="1" ht="17.25" customHeight="1">
      <c r="A11" s="1711" t="s">
        <v>2103</v>
      </c>
    </row>
    <row r="13" spans="1:80" s="1715" customFormat="1" ht="15" customHeight="1">
      <c r="A13" s="3877">
        <v>1</v>
      </c>
      <c r="B13" s="1084"/>
      <c r="C13" s="729" t="s">
        <v>90</v>
      </c>
      <c r="D13" s="1714"/>
      <c r="E13" s="1701">
        <f>A13</f>
        <v>1</v>
      </c>
      <c r="F13" s="732"/>
      <c r="G13" s="474" t="str">
        <f>"Территория "&amp;E13</f>
        <v>Территория 1</v>
      </c>
      <c r="H13" s="720"/>
      <c r="I13" s="720"/>
      <c r="J13" s="717"/>
      <c r="K13" s="1548"/>
      <c r="L13" s="1548"/>
      <c r="M13" s="1548"/>
      <c r="N13" s="161"/>
      <c r="O13" s="1548"/>
      <c r="P13" s="160"/>
      <c r="Q13" s="160"/>
      <c r="R13" s="160"/>
      <c r="S13" s="160"/>
    </row>
    <row r="14" spans="1:80" s="1745" customFormat="1" ht="15" customHeight="1">
      <c r="A14" s="3877"/>
      <c r="B14" s="1084">
        <v>1</v>
      </c>
      <c r="C14" s="1084"/>
      <c r="D14" s="728"/>
      <c r="E14" s="1709" t="str">
        <f>A13&amp;"."&amp;B14</f>
        <v>1.1</v>
      </c>
      <c r="F14" s="731">
        <f>$F$20</f>
        <v>0</v>
      </c>
      <c r="G14" s="721"/>
      <c r="H14" s="721"/>
      <c r="I14" s="719"/>
      <c r="J14" s="1548"/>
      <c r="K14" s="1560"/>
      <c r="L14" s="1560"/>
      <c r="M14" s="1548" t="str">
        <f t="array" ref="M14">IF(ISERROR(MATCH(MID(N14,1,250),MID(note_ter,1,250),0)),"n","y")</f>
        <v>n</v>
      </c>
      <c r="N14" s="1560"/>
      <c r="O14" s="1548" t="str">
        <f>H14&amp;"("&amp;I14&amp;")"</f>
        <v>()</v>
      </c>
      <c r="P14" s="1084"/>
      <c r="Q14" s="1084"/>
      <c r="R14" s="354"/>
      <c r="S14" s="1084"/>
      <c r="T14" s="1084"/>
      <c r="U14" s="1084"/>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745" customFormat="1" ht="15" customHeight="1">
      <c r="A15" s="3877"/>
      <c r="B15" s="1084"/>
      <c r="C15" s="346"/>
      <c r="D15" s="729"/>
      <c r="E15" s="355"/>
      <c r="F15" s="112"/>
      <c r="G15" s="349" t="s">
        <v>88</v>
      </c>
      <c r="H15" s="122"/>
      <c r="I15" s="358"/>
      <c r="J15" s="1560"/>
      <c r="K15" s="1560"/>
      <c r="L15" s="1560"/>
      <c r="M15" s="1560"/>
      <c r="N15" s="1548"/>
      <c r="O15" s="1560"/>
      <c r="P15" s="1084"/>
      <c r="Q15" s="1084"/>
      <c r="R15" s="354"/>
      <c r="S15" s="1084"/>
      <c r="T15" s="1084"/>
      <c r="U15" s="1084"/>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1711" customFormat="1" ht="17.25" customHeight="1">
      <c r="A17" s="1711" t="s">
        <v>2104</v>
      </c>
    </row>
    <row r="19" spans="1:80" s="1745" customFormat="1" ht="15" customHeight="1">
      <c r="A19" s="1777"/>
      <c r="B19" s="1290">
        <v>1</v>
      </c>
      <c r="C19" s="1290"/>
      <c r="D19" s="728" t="s">
        <v>90</v>
      </c>
      <c r="E19" s="1773"/>
      <c r="F19" s="1778">
        <f>$F$20</f>
        <v>0</v>
      </c>
      <c r="G19" s="1782"/>
      <c r="H19" s="1782"/>
      <c r="I19" s="1780"/>
      <c r="J19" s="1548"/>
      <c r="K19" s="1560"/>
      <c r="L19" s="1560"/>
      <c r="M19" s="1548" t="str">
        <f t="array" ref="M19">IF(ISERROR(MATCH(MID(N19,1,250),MID(note_ter,1,250),0)),"n","y")</f>
        <v>n</v>
      </c>
      <c r="N19" s="1560"/>
      <c r="O19" s="1548" t="str">
        <f>H19&amp;"("&amp;I19&amp;")"</f>
        <v>()</v>
      </c>
      <c r="P19" s="1290"/>
      <c r="Q19" s="1290"/>
      <c r="R19" s="354"/>
      <c r="S19" s="1290"/>
      <c r="T19" s="1290"/>
      <c r="U19" s="1290"/>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1745" customFormat="1" ht="15" customHeight="1">
      <c r="A21" s="1711" t="s">
        <v>2105</v>
      </c>
      <c r="B21" s="1711"/>
      <c r="C21" s="1711"/>
      <c r="D21" s="1711"/>
      <c r="E21" s="1711"/>
      <c r="F21" s="1711"/>
      <c r="G21" s="1711"/>
      <c r="H21" s="1711"/>
      <c r="I21" s="1711"/>
      <c r="J21" s="1711"/>
      <c r="K21" s="1711"/>
      <c r="L21" s="1711"/>
      <c r="M21" s="1711"/>
      <c r="N21" s="1711"/>
      <c r="O21" s="1711"/>
      <c r="P21" s="1711"/>
      <c r="Q21" s="1711"/>
      <c r="R21" s="1711"/>
      <c r="S21" s="1711"/>
      <c r="T21" s="1711"/>
      <c r="U21" s="119"/>
      <c r="V21" s="1711"/>
      <c r="W21" s="1711"/>
    </row>
    <row r="22" spans="1:80" s="1745" customFormat="1" ht="15" customHeight="1">
      <c r="U22" s="120"/>
    </row>
    <row r="23" spans="1:80" s="1748" customFormat="1" ht="15" customHeight="1">
      <c r="A23" s="357"/>
      <c r="B23" s="357"/>
      <c r="C23" s="1624" t="s">
        <v>90</v>
      </c>
      <c r="D23" s="3900" t="s">
        <v>184</v>
      </c>
      <c r="E23" s="3901"/>
      <c r="F23" s="3899" t="s">
        <v>6</v>
      </c>
      <c r="G23" s="4257"/>
      <c r="H23" s="3889">
        <v>1</v>
      </c>
      <c r="I23" s="4259" t="str">
        <f>IF(U23="","",INDEX(TERRITORY_MR_LIST,MATCH(U23,TERRITORY_LIST_ID,0)))</f>
        <v/>
      </c>
      <c r="J23" s="3899" t="s">
        <v>6</v>
      </c>
      <c r="K23" s="760"/>
      <c r="L23" s="1678" t="s">
        <v>184</v>
      </c>
      <c r="M23" s="537"/>
      <c r="N23" s="538"/>
      <c r="O23" s="538"/>
      <c r="P23" s="538"/>
      <c r="Q23" s="538"/>
      <c r="R23" s="538"/>
      <c r="S23" s="538"/>
      <c r="T23" s="538"/>
      <c r="U23" s="539"/>
      <c r="V23" s="538"/>
      <c r="W23" s="538"/>
      <c r="X23" s="529"/>
      <c r="Y23" s="529" t="s">
        <v>190</v>
      </c>
      <c r="Z23" s="529">
        <v>1705000</v>
      </c>
      <c r="AA23" s="529"/>
      <c r="AB23" s="529"/>
      <c r="AC23" s="529"/>
      <c r="AD23" s="529"/>
      <c r="AE23" s="529"/>
      <c r="AF23" s="529"/>
      <c r="AG23" s="529"/>
      <c r="AH23" s="529"/>
      <c r="AI23" s="529"/>
      <c r="AJ23" s="529"/>
      <c r="AK23" s="529"/>
      <c r="AL23" s="529"/>
    </row>
    <row r="24" spans="1:80" s="1748" customFormat="1" ht="15" customHeight="1">
      <c r="A24" s="357"/>
      <c r="B24" s="357"/>
      <c r="C24" s="111"/>
      <c r="D24" s="3900"/>
      <c r="E24" s="3902"/>
      <c r="F24" s="3899"/>
      <c r="G24" s="4258"/>
      <c r="H24" s="3889"/>
      <c r="I24" s="4260"/>
      <c r="J24" s="3899"/>
      <c r="K24" s="355"/>
      <c r="L24" s="112"/>
      <c r="M24" s="541" t="s">
        <v>191</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1748" customFormat="1" ht="15" customHeight="1">
      <c r="A25" s="357"/>
      <c r="B25" s="357"/>
      <c r="C25" s="111"/>
      <c r="D25" s="3900"/>
      <c r="E25" s="3903"/>
      <c r="F25" s="3899"/>
      <c r="G25" s="355"/>
      <c r="H25" s="112"/>
      <c r="I25" s="514" t="s">
        <v>192</v>
      </c>
      <c r="J25" s="112"/>
      <c r="K25" s="112"/>
      <c r="L25" s="112"/>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1745" customFormat="1" ht="15" customHeight="1">
      <c r="U26" s="120"/>
    </row>
    <row r="27" spans="1:80" s="1745" customFormat="1" ht="15" customHeight="1">
      <c r="A27" s="1711" t="s">
        <v>2106</v>
      </c>
      <c r="B27" s="1711"/>
      <c r="C27" s="1711"/>
      <c r="D27" s="1711"/>
      <c r="E27" s="1711"/>
      <c r="F27" s="1711"/>
      <c r="G27" s="1711"/>
      <c r="H27" s="1711"/>
      <c r="I27" s="1711"/>
      <c r="J27" s="1711"/>
      <c r="K27" s="1711"/>
      <c r="L27" s="1711"/>
      <c r="M27" s="1711"/>
      <c r="N27" s="1711"/>
      <c r="O27" s="1711"/>
      <c r="P27" s="1711"/>
      <c r="Q27" s="1711"/>
      <c r="R27" s="1711"/>
      <c r="S27" s="1711"/>
      <c r="T27" s="1711"/>
      <c r="U27" s="119"/>
      <c r="V27" s="1711"/>
      <c r="W27" s="1711"/>
    </row>
    <row r="28" spans="1:80" s="1745" customFormat="1" ht="15" customHeight="1">
      <c r="U28" s="120"/>
    </row>
    <row r="29" spans="1:80" s="1748" customFormat="1" ht="15" customHeight="1">
      <c r="A29" s="357"/>
      <c r="B29" s="357"/>
      <c r="C29" s="111"/>
      <c r="D29" s="1716"/>
      <c r="E29" s="1716"/>
      <c r="F29" s="1716"/>
      <c r="G29" s="4261" t="s">
        <v>90</v>
      </c>
      <c r="H29" s="3869">
        <v>1</v>
      </c>
      <c r="I29" s="4262" t="str">
        <f>IF(U29="","",INDEX(TERRITORY_MR_LIST,MATCH(U29,TERRITORY_LIST_ID,0)))</f>
        <v/>
      </c>
      <c r="J29" s="3899" t="s">
        <v>6</v>
      </c>
      <c r="K29" s="760"/>
      <c r="L29" s="1678" t="s">
        <v>184</v>
      </c>
      <c r="M29" s="537"/>
      <c r="N29" s="538"/>
      <c r="O29" s="538"/>
      <c r="P29" s="538"/>
      <c r="Q29" s="538"/>
      <c r="R29" s="538"/>
      <c r="S29" s="538"/>
      <c r="T29" s="538"/>
      <c r="U29" s="539"/>
      <c r="V29" s="538"/>
      <c r="W29" s="538"/>
      <c r="X29" s="529"/>
      <c r="Y29" s="529" t="s">
        <v>190</v>
      </c>
      <c r="Z29" s="529">
        <v>1705000</v>
      </c>
      <c r="AA29" s="529"/>
      <c r="AB29" s="529"/>
      <c r="AC29" s="529"/>
      <c r="AD29" s="529"/>
      <c r="AE29" s="529"/>
      <c r="AF29" s="529"/>
      <c r="AG29" s="529"/>
      <c r="AH29" s="529"/>
      <c r="AI29" s="529"/>
      <c r="AJ29" s="529"/>
      <c r="AK29" s="529"/>
      <c r="AL29" s="529"/>
    </row>
    <row r="30" spans="1:80" s="1748" customFormat="1" ht="15" customHeight="1">
      <c r="A30" s="357"/>
      <c r="B30" s="357"/>
      <c r="C30" s="111"/>
      <c r="D30" s="1716"/>
      <c r="E30" s="1716"/>
      <c r="F30" s="1716"/>
      <c r="G30" s="4261"/>
      <c r="H30" s="3869"/>
      <c r="I30" s="4262"/>
      <c r="J30" s="3899"/>
      <c r="K30" s="355"/>
      <c r="L30" s="112"/>
      <c r="M30" s="541" t="s">
        <v>191</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1745" customFormat="1" ht="15" customHeight="1">
      <c r="U31" s="120"/>
    </row>
    <row r="32" spans="1:80" s="1745" customFormat="1" ht="15" customHeight="1">
      <c r="A32" s="1711" t="s">
        <v>2107</v>
      </c>
      <c r="B32" s="1711"/>
      <c r="C32" s="1711"/>
      <c r="D32" s="1711"/>
      <c r="E32" s="1711"/>
      <c r="F32" s="1711"/>
      <c r="G32" s="1711"/>
      <c r="H32" s="1711"/>
      <c r="I32" s="1711"/>
      <c r="J32" s="1711"/>
      <c r="K32" s="1711"/>
      <c r="L32" s="1711"/>
      <c r="M32" s="1711"/>
      <c r="N32" s="1711"/>
      <c r="O32" s="1711"/>
      <c r="P32" s="1711"/>
      <c r="Q32" s="1711"/>
      <c r="R32" s="1711"/>
      <c r="S32" s="1711"/>
      <c r="T32" s="1711"/>
      <c r="U32" s="119"/>
      <c r="V32" s="1711"/>
      <c r="W32" s="1711"/>
    </row>
    <row r="33" spans="1:38" s="1745" customFormat="1" ht="15" customHeight="1">
      <c r="U33" s="120"/>
    </row>
    <row r="34" spans="1:38" s="1748" customFormat="1" ht="15" customHeight="1">
      <c r="A34" s="357"/>
      <c r="B34" s="357"/>
      <c r="C34" s="111"/>
      <c r="D34" s="1716"/>
      <c r="E34" s="1716"/>
      <c r="F34" s="1716"/>
      <c r="G34" s="1716"/>
      <c r="H34" s="1716"/>
      <c r="I34" s="1716"/>
      <c r="J34" s="1716"/>
      <c r="K34" s="1695" t="s">
        <v>90</v>
      </c>
      <c r="L34" s="1625" t="s">
        <v>184</v>
      </c>
      <c r="M34" s="739"/>
      <c r="N34" s="740"/>
      <c r="O34" s="538"/>
      <c r="P34" s="538"/>
      <c r="Q34" s="538"/>
      <c r="R34" s="538"/>
      <c r="S34" s="538"/>
      <c r="T34" s="538"/>
      <c r="U34" s="539"/>
      <c r="V34" s="538"/>
      <c r="W34" s="538"/>
      <c r="X34" s="529"/>
      <c r="Y34" s="529" t="s">
        <v>190</v>
      </c>
      <c r="Z34" s="529">
        <v>1705000</v>
      </c>
      <c r="AA34" s="529"/>
      <c r="AB34" s="529"/>
      <c r="AC34" s="529"/>
      <c r="AD34" s="529"/>
      <c r="AE34" s="529"/>
      <c r="AF34" s="529"/>
      <c r="AG34" s="529"/>
      <c r="AH34" s="529"/>
      <c r="AI34" s="529"/>
      <c r="AJ34" s="529"/>
      <c r="AK34" s="529"/>
      <c r="AL34" s="529"/>
    </row>
    <row r="35" spans="1:38" s="1745" customFormat="1" ht="15" customHeight="1">
      <c r="U35" s="120"/>
    </row>
    <row r="36" spans="1:38" s="1745" customFormat="1" ht="15" customHeight="1">
      <c r="U36" s="120"/>
    </row>
    <row r="37" spans="1:38" s="1711" customFormat="1" ht="11.25" customHeight="1">
      <c r="A37" s="1711" t="s">
        <v>2108</v>
      </c>
    </row>
    <row r="38" spans="1:38" ht="11.25" customHeight="1"/>
    <row r="39" spans="1:38" s="389" customFormat="1" ht="22.5" customHeight="1">
      <c r="A39" s="1687"/>
      <c r="B39" s="391"/>
      <c r="C39" s="787"/>
      <c r="D39" s="374"/>
      <c r="E39" s="788"/>
      <c r="F39" s="1708"/>
      <c r="G39" s="1717"/>
      <c r="H39" s="409"/>
    </row>
    <row r="40" spans="1:38" ht="11.25" customHeight="1"/>
    <row r="41" spans="1:38" s="1711" customFormat="1" ht="11.25" customHeight="1">
      <c r="A41" s="1711" t="s">
        <v>2109</v>
      </c>
    </row>
    <row r="42" spans="1:38" ht="11.25" customHeight="1"/>
    <row r="43" spans="1:38" s="389" customFormat="1" ht="22.5" customHeight="1">
      <c r="A43" s="391"/>
      <c r="B43" s="391"/>
      <c r="C43" s="391"/>
      <c r="D43" s="374"/>
      <c r="E43" s="788"/>
      <c r="F43" s="789"/>
      <c r="G43" s="1717"/>
      <c r="H43" s="409"/>
    </row>
    <row r="44" spans="1:38" ht="11.25" customHeight="1"/>
    <row r="45" spans="1:38" s="1711" customFormat="1" ht="11.25" customHeight="1">
      <c r="A45" s="1711" t="s">
        <v>2110</v>
      </c>
    </row>
    <row r="46" spans="1:38" ht="11.25" customHeight="1"/>
    <row r="47" spans="1:38" s="389" customFormat="1" ht="24" customHeight="1">
      <c r="A47" s="3988" t="s">
        <v>521</v>
      </c>
      <c r="B47" s="436"/>
      <c r="C47" s="3999"/>
      <c r="D47" s="379" t="str">
        <f>A47</f>
        <v>5.1</v>
      </c>
      <c r="E47" s="376" t="s">
        <v>522</v>
      </c>
      <c r="F47" s="1868" t="s">
        <v>514</v>
      </c>
      <c r="G47" s="378" t="s">
        <v>523</v>
      </c>
      <c r="H47" s="409"/>
      <c r="I47" s="780"/>
    </row>
    <row r="48" spans="1:38" s="389" customFormat="1" ht="22.5" customHeight="1">
      <c r="A48" s="3988"/>
      <c r="B48" s="436"/>
      <c r="C48" s="3999"/>
      <c r="D48" s="374" t="str">
        <f>D47&amp;".1"</f>
        <v>5.1.1</v>
      </c>
      <c r="E48" s="373" t="s">
        <v>524</v>
      </c>
      <c r="F48" s="1869" t="s">
        <v>15</v>
      </c>
      <c r="G48" s="408"/>
      <c r="H48" s="409"/>
      <c r="I48" s="780"/>
    </row>
    <row r="49" spans="1:45" s="389" customFormat="1" ht="22.5" customHeight="1">
      <c r="A49" s="3988"/>
      <c r="B49" s="436"/>
      <c r="C49" s="3999"/>
      <c r="D49" s="374" t="str">
        <f>D47&amp;".2"</f>
        <v>5.1.2</v>
      </c>
      <c r="E49" s="373" t="s">
        <v>525</v>
      </c>
      <c r="F49" s="1628" t="s">
        <v>15</v>
      </c>
      <c r="G49" s="378" t="s">
        <v>526</v>
      </c>
      <c r="H49" s="409"/>
      <c r="I49" s="780"/>
    </row>
    <row r="50" spans="1:45" s="389" customFormat="1" ht="22.5" customHeight="1">
      <c r="A50" s="3988"/>
      <c r="B50" s="436"/>
      <c r="C50" s="3999"/>
      <c r="D50" s="374" t="str">
        <f>D47&amp;".3"</f>
        <v>5.1.3</v>
      </c>
      <c r="E50" s="373" t="s">
        <v>527</v>
      </c>
      <c r="F50" s="1869" t="s">
        <v>15</v>
      </c>
      <c r="G50" s="408"/>
      <c r="H50" s="409"/>
      <c r="I50" s="780"/>
    </row>
    <row r="51" spans="1:45" s="389" customFormat="1" ht="22.5" customHeight="1">
      <c r="A51" s="3988"/>
      <c r="B51" s="436"/>
      <c r="C51" s="3999"/>
      <c r="D51" s="374" t="str">
        <f>D47&amp;".4"</f>
        <v>5.1.4</v>
      </c>
      <c r="E51" s="373" t="s">
        <v>528</v>
      </c>
      <c r="F51" s="1869" t="s">
        <v>15</v>
      </c>
      <c r="G51" s="378" t="s">
        <v>529</v>
      </c>
      <c r="H51" s="409"/>
      <c r="I51" s="780"/>
    </row>
    <row r="54" spans="1:45" s="1711" customFormat="1" ht="17.25" customHeight="1">
      <c r="A54" s="1711" t="s">
        <v>2111</v>
      </c>
    </row>
    <row r="56" spans="1:45" s="1536" customFormat="1" ht="18.75" customHeight="1">
      <c r="A56" s="28"/>
      <c r="B56" s="1718"/>
      <c r="C56" s="1718"/>
      <c r="D56" s="1719"/>
      <c r="E56" s="1705"/>
      <c r="F56" s="796">
        <v>13</v>
      </c>
      <c r="G56" s="795"/>
      <c r="H56" s="721"/>
      <c r="I56" s="719"/>
      <c r="J56" s="454" t="s">
        <v>53</v>
      </c>
      <c r="K56" s="1720" t="s">
        <v>15</v>
      </c>
      <c r="L56" s="28"/>
      <c r="M56" s="1560"/>
      <c r="N56" s="1560"/>
      <c r="O56" s="1560"/>
      <c r="P56" s="450" t="s">
        <v>600</v>
      </c>
      <c r="Q56" s="450" t="s">
        <v>601</v>
      </c>
      <c r="R56" s="451" t="s">
        <v>602</v>
      </c>
      <c r="S56" s="1560" t="s">
        <v>603</v>
      </c>
      <c r="T56" s="1560"/>
      <c r="U56" s="1560"/>
      <c r="V56" s="1560"/>
    </row>
    <row r="58" spans="1:45" s="1711" customFormat="1" ht="11.25" customHeight="1">
      <c r="A58" s="1711" t="s">
        <v>2112</v>
      </c>
    </row>
    <row r="60" spans="1:45" s="1559" customFormat="1" ht="14.25" customHeight="1">
      <c r="C60" s="1612"/>
      <c r="D60" s="1764"/>
      <c r="E60" s="1673" t="s">
        <v>15</v>
      </c>
      <c r="F60" s="1763"/>
      <c r="G60" s="784"/>
      <c r="H60" s="1674"/>
      <c r="I60" s="1674"/>
      <c r="J60" s="367"/>
      <c r="K60" s="1758"/>
      <c r="L60" s="366"/>
      <c r="M60" s="1758"/>
      <c r="N60" s="367"/>
      <c r="O60" s="1758"/>
      <c r="P60" s="367"/>
      <c r="Q60" s="1758"/>
      <c r="R60" s="367"/>
      <c r="S60" s="782"/>
      <c r="T60" s="1674"/>
      <c r="U60" s="367"/>
      <c r="V60" s="367"/>
      <c r="W60" s="1762"/>
      <c r="X60" s="1674"/>
      <c r="Y60" s="367"/>
      <c r="Z60" s="367"/>
      <c r="AA60" s="1762"/>
      <c r="AB60" s="1674"/>
      <c r="AC60" s="367"/>
      <c r="AD60" s="1762"/>
      <c r="AE60" s="28"/>
      <c r="AF60" s="28"/>
      <c r="AG60" s="28"/>
      <c r="AH60" s="28"/>
      <c r="AJ60" s="1560"/>
      <c r="AK60" s="1560"/>
      <c r="AL60" s="1560"/>
      <c r="AM60" s="1560"/>
      <c r="AN60" s="1560"/>
      <c r="AO60" s="1560"/>
      <c r="AP60" s="1548" t="s">
        <v>589</v>
      </c>
      <c r="AQ60" s="1548" t="s">
        <v>589</v>
      </c>
      <c r="AR60" s="1560"/>
      <c r="AS60" s="1560"/>
    </row>
    <row r="62" spans="1:45" s="1711" customFormat="1" ht="11.25" customHeight="1">
      <c r="A62" s="1711" t="s">
        <v>2113</v>
      </c>
    </row>
    <row r="64" spans="1:45" s="1718" customFormat="1" ht="15" customHeight="1">
      <c r="A64" s="81" t="s">
        <v>77</v>
      </c>
      <c r="B64" s="63" t="s">
        <v>15</v>
      </c>
      <c r="C64" s="1721"/>
      <c r="D64" s="66"/>
      <c r="E64" s="315"/>
      <c r="F64" s="315"/>
      <c r="G64" s="1699"/>
      <c r="H64" s="1720"/>
      <c r="I64" s="1700"/>
      <c r="K64" s="207"/>
      <c r="L64" s="208"/>
    </row>
    <row r="66" spans="1:30" s="1711" customFormat="1" ht="11.25" customHeight="1">
      <c r="A66" s="1711" t="s">
        <v>2114</v>
      </c>
    </row>
    <row r="68" spans="1:30" s="1559" customFormat="1" ht="14.25" customHeight="1">
      <c r="A68" s="278"/>
      <c r="B68" s="1084"/>
      <c r="C68" s="310"/>
      <c r="D68" s="1706"/>
      <c r="E68" s="813"/>
      <c r="F68" s="1720"/>
      <c r="G68" s="28"/>
      <c r="I68" s="1548"/>
      <c r="J68" s="1548"/>
    </row>
    <row r="70" spans="1:30" s="1711" customFormat="1" ht="11.25" customHeight="1">
      <c r="A70" s="1711" t="s">
        <v>2115</v>
      </c>
    </row>
    <row r="72" spans="1:30" s="1559" customFormat="1" ht="27" customHeight="1">
      <c r="A72" s="1090"/>
      <c r="B72" s="1090"/>
      <c r="C72" s="1090"/>
      <c r="D72" s="1084"/>
      <c r="E72" s="1722"/>
      <c r="F72" s="4226"/>
      <c r="G72" s="4227"/>
      <c r="H72" s="4228" t="s">
        <v>53</v>
      </c>
      <c r="I72" s="4230"/>
      <c r="J72" s="4232"/>
      <c r="K72" s="4234"/>
      <c r="L72" s="4245"/>
      <c r="M72" s="4245"/>
      <c r="N72" s="4265"/>
      <c r="O72" s="4265"/>
      <c r="P72" s="4266" t="e">
        <f>DATEDIF(DATEVALUE(N72),DATEVALUE(O72),"y")&amp;"г. "&amp;DATEDIF(DATEVALUE(N72),DATEVALUE(O72),"ym")&amp;"мес. "&amp;DATEVALUE(O72)-DATE(YEAR(DATEVALUE(O72)),MONTH(DATEVALUE(O72)),1)&amp;"дн. "</f>
        <v>#VALUE!</v>
      </c>
      <c r="Q72" s="4246"/>
      <c r="R72" s="4246"/>
      <c r="S72" s="4246"/>
      <c r="T72" s="4232"/>
      <c r="U72" s="4246"/>
      <c r="V72" s="4246"/>
      <c r="W72" s="4246"/>
      <c r="X72" s="4232"/>
      <c r="Y72" s="4263" t="s">
        <v>53</v>
      </c>
      <c r="Z72" s="1704"/>
      <c r="AA72" s="1688">
        <v>1</v>
      </c>
      <c r="AB72" s="1166"/>
      <c r="AD72" s="1560" t="s">
        <v>2116</v>
      </c>
    </row>
    <row r="73" spans="1:30" s="1559" customFormat="1" ht="10.5" customHeight="1">
      <c r="A73" s="1090"/>
      <c r="B73" s="1090"/>
      <c r="C73" s="1090"/>
      <c r="D73" s="1084"/>
      <c r="E73" s="874"/>
      <c r="F73" s="4226"/>
      <c r="G73" s="4227"/>
      <c r="H73" s="4229"/>
      <c r="I73" s="4231"/>
      <c r="J73" s="4233"/>
      <c r="K73" s="4234"/>
      <c r="L73" s="4245"/>
      <c r="M73" s="4245"/>
      <c r="N73" s="4265"/>
      <c r="O73" s="4265"/>
      <c r="P73" s="4266"/>
      <c r="Q73" s="4246"/>
      <c r="R73" s="4246"/>
      <c r="S73" s="4246"/>
      <c r="T73" s="4233"/>
      <c r="U73" s="4246"/>
      <c r="V73" s="4246"/>
      <c r="W73" s="4246"/>
      <c r="X73" s="4233"/>
      <c r="Y73" s="4264"/>
      <c r="Z73" s="282"/>
      <c r="AA73" s="506"/>
      <c r="AB73" s="586" t="s">
        <v>2117</v>
      </c>
    </row>
    <row r="75" spans="1:30" s="1711" customFormat="1" ht="11.25" customHeight="1">
      <c r="A75" s="1711" t="s">
        <v>2118</v>
      </c>
    </row>
    <row r="77" spans="1:30" s="1559" customFormat="1" ht="27" customHeight="1">
      <c r="A77" s="1090"/>
      <c r="B77" s="1090"/>
      <c r="C77" s="1090"/>
      <c r="D77" s="1084"/>
      <c r="E77" s="1722"/>
      <c r="F77" s="1693"/>
      <c r="G77" s="1643"/>
      <c r="H77" s="1644"/>
      <c r="I77" s="1645"/>
      <c r="J77" s="1646"/>
      <c r="K77" s="1647"/>
      <c r="L77" s="1648"/>
      <c r="M77" s="1648"/>
      <c r="N77" s="1649"/>
      <c r="O77" s="1649"/>
      <c r="P77" s="1650"/>
      <c r="Q77" s="1651"/>
      <c r="R77" s="1651"/>
      <c r="S77" s="1651"/>
      <c r="T77" s="1646"/>
      <c r="U77" s="1651"/>
      <c r="V77" s="1651"/>
      <c r="W77" s="1651"/>
      <c r="X77" s="1646"/>
      <c r="Y77" s="1644"/>
      <c r="Z77" s="1704"/>
      <c r="AA77" s="1688">
        <v>1</v>
      </c>
      <c r="AB77" s="1166"/>
      <c r="AD77" s="1560" t="s">
        <v>2116</v>
      </c>
    </row>
    <row r="79" spans="1:30" s="1711" customFormat="1" ht="11.25" customHeight="1">
      <c r="A79" s="1711" t="s">
        <v>2119</v>
      </c>
    </row>
    <row r="80" spans="1:30" ht="17.25" customHeight="1"/>
    <row r="81" spans="1:58" s="1559" customFormat="1" ht="21" customHeight="1">
      <c r="A81" s="1091"/>
      <c r="B81" s="1090"/>
      <c r="C81" s="1090"/>
      <c r="D81" s="1084"/>
      <c r="E81" s="1094"/>
      <c r="F81" s="1046" t="e">
        <f>INDEX(IP_MAIN_LIST_NAME_IP,MATCH(A81,IP_MAIN_LIST_IP_ID,0))&amp;" ("&amp;INDEX(IP_MAIN_START_DATE,MATCH(A81,IP_MAIN_LIST_IP_ID,0))&amp;"-"&amp;INDEX(IP_MAIN_END_DATE,MATCH(A81,IP_MAIN_LIST_IP_ID,0))&amp;")"</f>
        <v>#N/A</v>
      </c>
      <c r="G81" s="1047"/>
      <c r="H81" s="1047"/>
      <c r="I81" s="1109"/>
      <c r="J81" s="1109"/>
      <c r="K81" s="1110"/>
      <c r="L81" s="1110"/>
      <c r="M81" s="1110"/>
      <c r="N81" s="1111"/>
      <c r="O81" s="1111"/>
      <c r="P81" s="1111"/>
      <c r="Q81" s="1111"/>
      <c r="R81" s="1111"/>
      <c r="S81" s="1111"/>
      <c r="T81" s="1111"/>
      <c r="U81" s="1111"/>
      <c r="V81" s="1111"/>
      <c r="W81" s="1111"/>
      <c r="X81" s="1111"/>
      <c r="Y81" s="1111"/>
      <c r="Z81" s="1111"/>
      <c r="AA81" s="1111"/>
      <c r="AB81" s="1111"/>
      <c r="AC81" s="1111"/>
      <c r="AD81" s="1111"/>
      <c r="AE81" s="1112"/>
      <c r="AF81" s="1110"/>
      <c r="AG81" s="1110"/>
      <c r="AH81" s="1110"/>
      <c r="AI81" s="1110"/>
      <c r="AJ81" s="1110"/>
      <c r="AK81" s="1110"/>
      <c r="AL81" s="1880"/>
      <c r="AM81" s="1718"/>
      <c r="AN81" s="1718"/>
      <c r="AO81" s="1718"/>
      <c r="AP81" s="1718"/>
      <c r="AQ81" s="1718"/>
      <c r="AR81" s="1718"/>
      <c r="AS81" s="1718"/>
      <c r="AT81" s="1718"/>
      <c r="AU81" s="1718"/>
      <c r="AV81" s="1718"/>
      <c r="AW81" s="1718"/>
      <c r="AX81" s="1718"/>
      <c r="AY81" s="1718"/>
      <c r="AZ81" s="1718"/>
      <c r="BA81" s="1718"/>
      <c r="BB81" s="1718"/>
      <c r="BC81" s="1718"/>
      <c r="BD81" s="1718"/>
      <c r="BE81" s="1718"/>
      <c r="BF81" s="1718"/>
    </row>
    <row r="82" spans="1:58" s="1559" customFormat="1" ht="0.75" customHeight="1">
      <c r="A82" s="1090"/>
      <c r="B82" s="1090"/>
      <c r="C82" s="1090"/>
      <c r="D82" s="1084"/>
      <c r="E82" s="1094"/>
      <c r="F82" s="4269"/>
      <c r="G82" s="4186"/>
      <c r="H82" s="4272" t="s">
        <v>584</v>
      </c>
      <c r="I82" s="4273"/>
      <c r="J82" s="4238"/>
      <c r="K82" s="4238"/>
      <c r="L82" s="4267"/>
      <c r="M82" s="4030"/>
      <c r="N82" s="1928"/>
      <c r="O82" s="1927"/>
      <c r="P82" s="1928"/>
      <c r="Q82" s="1928"/>
      <c r="R82" s="1928"/>
      <c r="S82" s="1928"/>
      <c r="T82" s="1928"/>
      <c r="U82" s="1928"/>
      <c r="V82" s="1928"/>
      <c r="W82" s="1928"/>
      <c r="X82" s="1928"/>
      <c r="Y82" s="1928"/>
      <c r="Z82" s="1928"/>
      <c r="AA82" s="1928"/>
      <c r="AB82" s="1928"/>
      <c r="AC82" s="1928"/>
      <c r="AD82" s="1928"/>
      <c r="AE82" s="1928"/>
      <c r="AF82" s="4271"/>
      <c r="AG82" s="4267"/>
      <c r="AH82" s="4267"/>
      <c r="AI82" s="4271"/>
      <c r="AJ82" s="4267"/>
      <c r="AK82" s="4267"/>
      <c r="AL82" s="1880"/>
      <c r="AM82" s="1718"/>
      <c r="AN82" s="1718"/>
      <c r="AO82" s="1718"/>
      <c r="AP82" s="1718"/>
      <c r="AQ82" s="1718"/>
      <c r="AR82" s="1718"/>
      <c r="AS82" s="1718"/>
      <c r="AT82" s="1718"/>
      <c r="AU82" s="1718"/>
      <c r="AV82" s="1718"/>
      <c r="AW82" s="1718"/>
      <c r="AX82" s="1718"/>
      <c r="AY82" s="1718"/>
      <c r="AZ82" s="1718"/>
      <c r="BA82" s="1718"/>
      <c r="BB82" s="1718"/>
      <c r="BC82" s="1718"/>
      <c r="BD82" s="1718"/>
      <c r="BE82" s="1718"/>
      <c r="BF82" s="1718"/>
    </row>
    <row r="83" spans="1:58" s="1559" customFormat="1" ht="0.75" customHeight="1">
      <c r="A83" s="1090"/>
      <c r="B83" s="1090"/>
      <c r="C83" s="1090"/>
      <c r="D83" s="1084"/>
      <c r="E83" s="1094"/>
      <c r="F83" s="4269"/>
      <c r="G83" s="4186"/>
      <c r="H83" s="4272"/>
      <c r="I83" s="4273"/>
      <c r="J83" s="4238"/>
      <c r="K83" s="4238"/>
      <c r="L83" s="4267"/>
      <c r="M83" s="4030"/>
      <c r="N83" s="4274"/>
      <c r="O83" s="4275"/>
      <c r="P83" s="4235"/>
      <c r="Q83" s="4238"/>
      <c r="R83" s="4238"/>
      <c r="S83" s="4238"/>
      <c r="T83" s="4238"/>
      <c r="U83" s="4238"/>
      <c r="V83" s="4238"/>
      <c r="W83" s="4238"/>
      <c r="X83" s="4238"/>
      <c r="Y83" s="4238"/>
      <c r="Z83" s="1929"/>
      <c r="AA83" s="1930"/>
      <c r="AB83" s="1930"/>
      <c r="AC83" s="1931"/>
      <c r="AD83" s="1931"/>
      <c r="AE83" s="1932"/>
      <c r="AF83" s="4271"/>
      <c r="AG83" s="4267"/>
      <c r="AH83" s="4267"/>
      <c r="AI83" s="4271"/>
      <c r="AJ83" s="4267"/>
      <c r="AK83" s="4267"/>
      <c r="AL83" s="1880"/>
      <c r="AM83" s="1718"/>
      <c r="AN83" s="1718"/>
      <c r="AO83" s="1718"/>
      <c r="AP83" s="1718"/>
      <c r="AQ83" s="1718"/>
      <c r="AR83" s="1718"/>
      <c r="AS83" s="1718"/>
      <c r="AT83" s="1718"/>
      <c r="AU83" s="1718"/>
      <c r="AV83" s="1718"/>
      <c r="AW83" s="1718"/>
      <c r="AX83" s="1718"/>
      <c r="AY83" s="1718"/>
      <c r="AZ83" s="1718"/>
      <c r="BA83" s="1718"/>
      <c r="BB83" s="1718"/>
      <c r="BC83" s="1718"/>
      <c r="BD83" s="1718"/>
      <c r="BE83" s="1718"/>
      <c r="BF83" s="1718"/>
    </row>
    <row r="84" spans="1:58" s="1559" customFormat="1" ht="0.75" customHeight="1">
      <c r="A84" s="1090"/>
      <c r="B84" s="1090"/>
      <c r="C84" s="1090"/>
      <c r="D84" s="1084"/>
      <c r="E84" s="1094"/>
      <c r="F84" s="4269"/>
      <c r="G84" s="4186"/>
      <c r="H84" s="4272"/>
      <c r="I84" s="4273"/>
      <c r="J84" s="4238"/>
      <c r="K84" s="4238"/>
      <c r="L84" s="4267"/>
      <c r="M84" s="4030"/>
      <c r="N84" s="4274"/>
      <c r="O84" s="4275"/>
      <c r="P84" s="4236"/>
      <c r="Q84" s="4238"/>
      <c r="R84" s="4238"/>
      <c r="S84" s="4238"/>
      <c r="T84" s="4238"/>
      <c r="U84" s="4238"/>
      <c r="V84" s="4238"/>
      <c r="W84" s="4238"/>
      <c r="X84" s="4238"/>
      <c r="Y84" s="4238"/>
      <c r="Z84" s="1933"/>
      <c r="AA84" s="1934"/>
      <c r="AB84" s="1935"/>
      <c r="AC84" s="1936"/>
      <c r="AD84" s="1935"/>
      <c r="AE84" s="1936"/>
      <c r="AF84" s="4271"/>
      <c r="AG84" s="4267"/>
      <c r="AH84" s="4267"/>
      <c r="AI84" s="4271"/>
      <c r="AJ84" s="4267"/>
      <c r="AK84" s="4267"/>
      <c r="AL84" s="1880"/>
      <c r="AM84" s="1718"/>
      <c r="AN84" s="1718"/>
      <c r="AO84" s="1718"/>
      <c r="AP84" s="1718"/>
      <c r="AQ84" s="1718"/>
      <c r="AR84" s="1718"/>
      <c r="AS84" s="1718"/>
      <c r="AT84" s="1718"/>
      <c r="AU84" s="1718"/>
      <c r="AV84" s="1718"/>
      <c r="AW84" s="1718"/>
      <c r="AX84" s="1718"/>
      <c r="AY84" s="1718"/>
      <c r="AZ84" s="1718"/>
      <c r="BA84" s="1718"/>
      <c r="BB84" s="1718"/>
      <c r="BC84" s="1718"/>
      <c r="BD84" s="1718"/>
      <c r="BE84" s="1718"/>
      <c r="BF84" s="1718"/>
    </row>
    <row r="85" spans="1:58" s="1559" customFormat="1" ht="0.75" customHeight="1">
      <c r="A85" s="1090"/>
      <c r="B85" s="1090"/>
      <c r="C85" s="1090"/>
      <c r="D85" s="1084"/>
      <c r="E85" s="1094"/>
      <c r="F85" s="4269"/>
      <c r="G85" s="4186"/>
      <c r="H85" s="4272"/>
      <c r="I85" s="4273"/>
      <c r="J85" s="4238"/>
      <c r="K85" s="4238"/>
      <c r="L85" s="4267"/>
      <c r="M85" s="4030"/>
      <c r="N85" s="4274"/>
      <c r="O85" s="4275"/>
      <c r="P85" s="4237"/>
      <c r="Q85" s="4238"/>
      <c r="R85" s="4238"/>
      <c r="S85" s="4238"/>
      <c r="T85" s="4238"/>
      <c r="U85" s="4238"/>
      <c r="V85" s="4238"/>
      <c r="W85" s="4238"/>
      <c r="X85" s="4238"/>
      <c r="Y85" s="4238"/>
      <c r="Z85" s="1929"/>
      <c r="AA85" s="1930"/>
      <c r="AB85" s="1937"/>
      <c r="AC85" s="1931"/>
      <c r="AD85" s="1931"/>
      <c r="AE85" s="1938"/>
      <c r="AF85" s="4271"/>
      <c r="AG85" s="4267"/>
      <c r="AH85" s="4267"/>
      <c r="AI85" s="4271"/>
      <c r="AJ85" s="4267"/>
      <c r="AK85" s="4267"/>
      <c r="AL85" s="1880"/>
      <c r="AM85" s="1718"/>
      <c r="AN85" s="1718"/>
      <c r="AO85" s="1718"/>
      <c r="AP85" s="1718"/>
      <c r="AQ85" s="1718"/>
      <c r="AR85" s="1718"/>
      <c r="AS85" s="1718"/>
      <c r="AT85" s="1718"/>
      <c r="AU85" s="1718"/>
      <c r="AV85" s="1718"/>
      <c r="AW85" s="1718"/>
      <c r="AX85" s="1718"/>
      <c r="AY85" s="1718"/>
      <c r="AZ85" s="1718"/>
      <c r="BA85" s="1718"/>
      <c r="BB85" s="1718"/>
      <c r="BC85" s="1718"/>
      <c r="BD85" s="1718"/>
      <c r="BE85" s="1718"/>
      <c r="BF85" s="1718"/>
    </row>
    <row r="86" spans="1:58" s="1559" customFormat="1" ht="0.75" customHeight="1">
      <c r="A86" s="1090"/>
      <c r="B86" s="1090"/>
      <c r="C86" s="1090"/>
      <c r="D86" s="1084"/>
      <c r="E86" s="1094"/>
      <c r="F86" s="4269"/>
      <c r="G86" s="4186"/>
      <c r="H86" s="4272"/>
      <c r="I86" s="4273"/>
      <c r="J86" s="4238"/>
      <c r="K86" s="4238"/>
      <c r="L86" s="4267"/>
      <c r="M86" s="4030"/>
      <c r="N86" s="1930"/>
      <c r="O86" s="1930"/>
      <c r="P86" s="1937"/>
      <c r="Q86" s="1930"/>
      <c r="R86" s="1930"/>
      <c r="S86" s="1930"/>
      <c r="T86" s="1930"/>
      <c r="U86" s="1930"/>
      <c r="V86" s="1930"/>
      <c r="W86" s="1930"/>
      <c r="X86" s="1930"/>
      <c r="Y86" s="1930"/>
      <c r="Z86" s="1930"/>
      <c r="AA86" s="1930"/>
      <c r="AB86" s="1930"/>
      <c r="AC86" s="1930"/>
      <c r="AD86" s="1930"/>
      <c r="AE86" s="1939"/>
      <c r="AF86" s="4271"/>
      <c r="AG86" s="4267"/>
      <c r="AH86" s="4267"/>
      <c r="AI86" s="4271"/>
      <c r="AJ86" s="4267"/>
      <c r="AK86" s="4267"/>
      <c r="AL86" s="1880"/>
      <c r="AM86" s="1718"/>
      <c r="AN86" s="1718"/>
      <c r="AO86" s="1718"/>
      <c r="AP86" s="1718"/>
      <c r="AQ86" s="1718"/>
      <c r="AR86" s="1718"/>
      <c r="AS86" s="1718"/>
      <c r="AT86" s="1718"/>
      <c r="AU86" s="1718"/>
      <c r="AV86" s="1718"/>
      <c r="AW86" s="1718"/>
      <c r="AX86" s="1718"/>
      <c r="AY86" s="1718"/>
      <c r="AZ86" s="1718"/>
      <c r="BA86" s="1718"/>
      <c r="BB86" s="1718"/>
      <c r="BC86" s="1718"/>
      <c r="BD86" s="1718"/>
      <c r="BE86" s="1718"/>
      <c r="BF86" s="1718"/>
    </row>
    <row r="87" spans="1:58" s="1559" customFormat="1" ht="12" customHeight="1">
      <c r="A87" s="1090"/>
      <c r="B87" s="1090"/>
      <c r="C87" s="1090"/>
      <c r="D87" s="1084"/>
      <c r="E87" s="1094"/>
      <c r="F87" s="4270"/>
      <c r="G87" s="1114"/>
      <c r="H87" s="1114"/>
      <c r="I87" s="4268" t="s">
        <v>2120</v>
      </c>
      <c r="J87" s="4268"/>
      <c r="K87" s="4268"/>
      <c r="L87" s="1097"/>
      <c r="M87" s="1097"/>
      <c r="N87" s="1098"/>
      <c r="O87" s="1098"/>
      <c r="P87" s="1098"/>
      <c r="Q87" s="1098"/>
      <c r="R87" s="1098"/>
      <c r="S87" s="1098"/>
      <c r="T87" s="1098"/>
      <c r="U87" s="1098"/>
      <c r="V87" s="1098"/>
      <c r="W87" s="1098"/>
      <c r="X87" s="1098"/>
      <c r="Y87" s="1098"/>
      <c r="Z87" s="1098"/>
      <c r="AA87" s="1098"/>
      <c r="AB87" s="1098"/>
      <c r="AC87" s="1098"/>
      <c r="AD87" s="1098"/>
      <c r="AE87" s="1098"/>
      <c r="AF87" s="1098"/>
      <c r="AG87" s="1097"/>
      <c r="AH87" s="1097"/>
      <c r="AI87" s="1098"/>
      <c r="AJ87" s="1097"/>
      <c r="AK87" s="1098"/>
      <c r="AL87" s="1880"/>
      <c r="AM87" s="1718"/>
      <c r="AN87" s="1718"/>
      <c r="AO87" s="1718"/>
      <c r="AP87" s="1718"/>
      <c r="AQ87" s="1718"/>
      <c r="AR87" s="1718"/>
      <c r="AS87" s="1718"/>
      <c r="AT87" s="1718"/>
      <c r="AU87" s="1718"/>
      <c r="AV87" s="1718"/>
      <c r="AW87" s="1718"/>
      <c r="AX87" s="1718"/>
      <c r="AY87" s="1718"/>
      <c r="AZ87" s="1718"/>
      <c r="BA87" s="1718"/>
      <c r="BB87" s="1718"/>
      <c r="BC87" s="1718"/>
      <c r="BD87" s="1718"/>
      <c r="BE87" s="1718"/>
      <c r="BF87" s="1718"/>
    </row>
    <row r="89" spans="1:58" s="1711" customFormat="1" ht="11.25" customHeight="1">
      <c r="A89" s="1711" t="s">
        <v>2121</v>
      </c>
    </row>
    <row r="91" spans="1:58" s="1559" customFormat="1" ht="11.25" customHeight="1">
      <c r="A91" s="1090"/>
      <c r="B91" s="1090"/>
      <c r="C91" s="1090"/>
      <c r="D91" s="1084"/>
      <c r="E91" s="1094"/>
      <c r="F91" s="1724"/>
      <c r="G91" s="1725"/>
      <c r="H91" s="1725"/>
      <c r="I91" s="1660"/>
      <c r="J91" s="1660"/>
      <c r="K91" s="1726"/>
      <c r="L91" s="1660"/>
      <c r="M91" s="1725"/>
      <c r="N91" s="4239"/>
      <c r="O91" s="4240">
        <v>1</v>
      </c>
      <c r="P91" s="4241" t="s">
        <v>6</v>
      </c>
      <c r="Q91" s="4150" t="s">
        <v>15</v>
      </c>
      <c r="R91" s="4150" t="s">
        <v>15</v>
      </c>
      <c r="S91" s="4150" t="s">
        <v>15</v>
      </c>
      <c r="T91" s="4150" t="s">
        <v>15</v>
      </c>
      <c r="U91" s="4150" t="s">
        <v>15</v>
      </c>
      <c r="V91" s="4150" t="s">
        <v>15</v>
      </c>
      <c r="W91" s="4150" t="s">
        <v>15</v>
      </c>
      <c r="X91" s="4150" t="s">
        <v>15</v>
      </c>
      <c r="Y91" s="4150"/>
      <c r="Z91" s="1099"/>
      <c r="AA91" s="1100"/>
      <c r="AB91" s="1100"/>
      <c r="AC91" s="1104"/>
      <c r="AD91" s="1104"/>
      <c r="AE91" s="1104"/>
      <c r="AF91" s="1727"/>
      <c r="AG91" s="1655"/>
      <c r="AH91" s="1655"/>
      <c r="AI91" s="1727"/>
      <c r="AJ91" s="1655"/>
      <c r="AK91" s="1879"/>
      <c r="AL91" s="1880"/>
      <c r="AM91" s="1718"/>
      <c r="AN91" s="1718"/>
      <c r="AO91" s="1718"/>
      <c r="AP91" s="1718"/>
      <c r="AQ91" s="1718"/>
      <c r="AR91" s="1718"/>
      <c r="AS91" s="1718"/>
      <c r="AT91" s="1718"/>
      <c r="AU91" s="1718"/>
      <c r="AV91" s="1718"/>
      <c r="AW91" s="1718"/>
      <c r="AX91" s="1718"/>
      <c r="AY91" s="1718"/>
      <c r="AZ91" s="1718"/>
      <c r="BA91" s="1718"/>
      <c r="BB91" s="1718"/>
      <c r="BC91" s="1718"/>
      <c r="BD91" s="1718"/>
      <c r="BE91" s="1718"/>
      <c r="BF91" s="1718"/>
    </row>
    <row r="92" spans="1:58" s="1559" customFormat="1" ht="11.25" customHeight="1">
      <c r="A92" s="1090"/>
      <c r="B92" s="1090"/>
      <c r="C92" s="1090"/>
      <c r="D92" s="1084"/>
      <c r="E92" s="1094"/>
      <c r="F92" s="1724"/>
      <c r="G92" s="1725"/>
      <c r="H92" s="1725"/>
      <c r="I92" s="1661"/>
      <c r="J92" s="1661"/>
      <c r="K92" s="1726"/>
      <c r="L92" s="1661"/>
      <c r="M92" s="1725"/>
      <c r="N92" s="4239"/>
      <c r="O92" s="4240"/>
      <c r="P92" s="4242"/>
      <c r="Q92" s="4150"/>
      <c r="R92" s="4150"/>
      <c r="S92" s="4244"/>
      <c r="T92" s="4150"/>
      <c r="U92" s="4150"/>
      <c r="V92" s="4150"/>
      <c r="W92" s="4150"/>
      <c r="X92" s="4150"/>
      <c r="Y92" s="4150"/>
      <c r="Z92" s="1723"/>
      <c r="AA92" s="1690">
        <v>1</v>
      </c>
      <c r="AB92" s="1103"/>
      <c r="AC92" s="1093"/>
      <c r="AD92" s="1103">
        <f>AB92</f>
        <v>0</v>
      </c>
      <c r="AE92" s="658"/>
      <c r="AF92" s="1726"/>
      <c r="AG92" s="1655"/>
      <c r="AH92" s="1655"/>
      <c r="AI92" s="1726"/>
      <c r="AJ92" s="1655"/>
      <c r="AK92" s="1879"/>
      <c r="AL92" s="1880"/>
      <c r="AM92" s="1718"/>
      <c r="AN92" s="1718"/>
      <c r="AO92" s="1718"/>
      <c r="AP92" s="1718"/>
      <c r="AQ92" s="1718"/>
      <c r="AR92" s="1718"/>
      <c r="AS92" s="1718"/>
      <c r="AT92" s="1718"/>
      <c r="AU92" s="1718"/>
      <c r="AV92" s="1718"/>
      <c r="AW92" s="1718"/>
      <c r="AX92" s="1718"/>
      <c r="AY92" s="1718"/>
      <c r="AZ92" s="1718"/>
      <c r="BA92" s="1718"/>
      <c r="BB92" s="1718"/>
      <c r="BC92" s="1718"/>
      <c r="BD92" s="1718"/>
      <c r="BE92" s="1718"/>
      <c r="BF92" s="1718"/>
    </row>
    <row r="93" spans="1:58" s="1559" customFormat="1" ht="11.25" customHeight="1">
      <c r="A93" s="1090"/>
      <c r="B93" s="1090"/>
      <c r="C93" s="1090"/>
      <c r="D93" s="1084"/>
      <c r="E93" s="1094"/>
      <c r="F93" s="1724"/>
      <c r="G93" s="1725"/>
      <c r="H93" s="1725"/>
      <c r="I93" s="1662"/>
      <c r="J93" s="1662"/>
      <c r="K93" s="1726"/>
      <c r="L93" s="1662"/>
      <c r="M93" s="1725"/>
      <c r="N93" s="4239"/>
      <c r="O93" s="4240"/>
      <c r="P93" s="4243"/>
      <c r="Q93" s="4150"/>
      <c r="R93" s="4150"/>
      <c r="S93" s="4244"/>
      <c r="T93" s="4150"/>
      <c r="U93" s="4150"/>
      <c r="V93" s="4150"/>
      <c r="W93" s="4150"/>
      <c r="X93" s="4150"/>
      <c r="Y93" s="4150"/>
      <c r="Z93" s="1099"/>
      <c r="AA93" s="1100"/>
      <c r="AB93" s="1165" t="s">
        <v>2122</v>
      </c>
      <c r="AC93" s="1104"/>
      <c r="AD93" s="1104"/>
      <c r="AE93" s="1104"/>
      <c r="AF93" s="1728"/>
      <c r="AG93" s="1655"/>
      <c r="AH93" s="1655"/>
      <c r="AI93" s="1728"/>
      <c r="AJ93" s="1655"/>
      <c r="AK93" s="1879"/>
      <c r="AL93" s="1880"/>
      <c r="AM93" s="1718"/>
      <c r="AN93" s="1718"/>
      <c r="AO93" s="1718"/>
      <c r="AP93" s="1718"/>
      <c r="AQ93" s="1718"/>
      <c r="AR93" s="1718"/>
      <c r="AS93" s="1718"/>
      <c r="AT93" s="1718"/>
      <c r="AU93" s="1718"/>
      <c r="AV93" s="1718"/>
      <c r="AW93" s="1718"/>
      <c r="AX93" s="1718"/>
      <c r="AY93" s="1718"/>
      <c r="AZ93" s="1718"/>
      <c r="BA93" s="1718"/>
      <c r="BB93" s="1718"/>
      <c r="BC93" s="1718"/>
      <c r="BD93" s="1718"/>
      <c r="BE93" s="1718"/>
      <c r="BF93" s="1718"/>
    </row>
    <row r="95" spans="1:58" s="1711" customFormat="1" ht="11.25" customHeight="1">
      <c r="A95" s="1711" t="s">
        <v>2123</v>
      </c>
    </row>
    <row r="97" spans="1:184" s="1559" customFormat="1" ht="11.25" customHeight="1">
      <c r="A97" s="1090"/>
      <c r="B97" s="1090"/>
      <c r="C97" s="1090"/>
      <c r="D97" s="1084"/>
      <c r="E97" s="1094"/>
      <c r="F97" s="1725"/>
      <c r="G97" s="1725"/>
      <c r="H97" s="1725"/>
      <c r="I97" s="1725"/>
      <c r="J97" s="1725"/>
      <c r="K97" s="1725"/>
      <c r="L97" s="1725"/>
      <c r="M97" s="1725"/>
      <c r="N97" s="1725"/>
      <c r="O97" s="1725"/>
      <c r="P97" s="1725"/>
      <c r="Q97" s="1725"/>
      <c r="R97" s="1725"/>
      <c r="S97" s="1725"/>
      <c r="T97" s="1725"/>
      <c r="U97" s="1725"/>
      <c r="V97" s="1725"/>
      <c r="W97" s="1725"/>
      <c r="X97" s="1725"/>
      <c r="Y97" s="1725"/>
      <c r="Z97" s="1729"/>
      <c r="AA97" s="1710">
        <v>1</v>
      </c>
      <c r="AB97" s="1103"/>
      <c r="AC97" s="1093"/>
      <c r="AD97" s="1103">
        <f>AB97</f>
        <v>0</v>
      </c>
      <c r="AE97" s="1093"/>
      <c r="AF97" s="1726"/>
      <c r="AG97" s="1655"/>
      <c r="AH97" s="1655"/>
      <c r="AI97" s="1726"/>
      <c r="AJ97" s="1655"/>
      <c r="AK97" s="1879"/>
      <c r="AL97" s="1880"/>
      <c r="AM97" s="1718"/>
      <c r="AN97" s="1718"/>
      <c r="AO97" s="1718"/>
      <c r="AP97" s="1718"/>
      <c r="AQ97" s="1718"/>
      <c r="AR97" s="1718"/>
      <c r="AS97" s="1718"/>
      <c r="AT97" s="1718"/>
      <c r="AU97" s="1718"/>
      <c r="AV97" s="1718"/>
      <c r="AW97" s="1718"/>
      <c r="AX97" s="1718"/>
      <c r="AY97" s="1718"/>
      <c r="AZ97" s="1718"/>
      <c r="BA97" s="1718"/>
      <c r="BB97" s="1718"/>
      <c r="BC97" s="1718"/>
      <c r="BD97" s="1718"/>
      <c r="BE97" s="1718"/>
      <c r="BF97" s="1718"/>
    </row>
    <row r="99" spans="1:184" s="1711" customFormat="1" ht="11.25" customHeight="1">
      <c r="A99" s="1711" t="s">
        <v>2124</v>
      </c>
    </row>
    <row r="101" spans="1:184" s="1559" customFormat="1" ht="11.25" customHeight="1">
      <c r="A101" s="1090"/>
      <c r="B101" s="1090"/>
      <c r="C101" s="1090"/>
      <c r="D101" s="1084"/>
      <c r="E101" s="1094"/>
      <c r="F101" s="1724"/>
      <c r="G101" s="1725"/>
      <c r="H101" s="4186" t="s">
        <v>184</v>
      </c>
      <c r="I101" s="4288"/>
      <c r="J101" s="4219"/>
      <c r="K101" s="4286"/>
      <c r="L101" s="3899" t="s">
        <v>6</v>
      </c>
      <c r="M101" s="3900"/>
      <c r="N101" s="1878"/>
      <c r="O101" s="1101" t="s">
        <v>584</v>
      </c>
      <c r="P101" s="1102"/>
      <c r="Q101" s="1102"/>
      <c r="R101" s="1102"/>
      <c r="S101" s="1102"/>
      <c r="T101" s="1102"/>
      <c r="U101" s="1102"/>
      <c r="V101" s="1102"/>
      <c r="W101" s="1102"/>
      <c r="X101" s="1102"/>
      <c r="Y101" s="1102"/>
      <c r="Z101" s="1102"/>
      <c r="AA101" s="1102"/>
      <c r="AB101" s="1102"/>
      <c r="AC101" s="1102"/>
      <c r="AD101" s="1102"/>
      <c r="AE101" s="1102"/>
      <c r="AF101" s="4289"/>
      <c r="AG101" s="4290"/>
      <c r="AH101" s="4290"/>
      <c r="AI101" s="4289"/>
      <c r="AJ101" s="4290"/>
      <c r="AK101" s="4290"/>
      <c r="AL101" s="1880"/>
      <c r="AM101" s="1718"/>
      <c r="AN101" s="1718"/>
      <c r="AO101" s="1718"/>
      <c r="AP101" s="1718"/>
      <c r="AQ101" s="1718"/>
      <c r="AR101" s="1718"/>
      <c r="AS101" s="1718"/>
      <c r="AT101" s="1718"/>
      <c r="AU101" s="1718"/>
      <c r="AV101" s="1718"/>
      <c r="AW101" s="1718"/>
      <c r="AX101" s="1718"/>
      <c r="AY101" s="1718"/>
      <c r="AZ101" s="1718"/>
      <c r="BA101" s="1718"/>
      <c r="BB101" s="1718"/>
      <c r="BC101" s="1718"/>
      <c r="BD101" s="1718"/>
      <c r="BE101" s="1718"/>
      <c r="BF101" s="1718"/>
    </row>
    <row r="102" spans="1:184" s="1559" customFormat="1" ht="11.25" customHeight="1">
      <c r="A102" s="1090"/>
      <c r="B102" s="1090"/>
      <c r="C102" s="1090"/>
      <c r="D102" s="1084"/>
      <c r="E102" s="1094"/>
      <c r="F102" s="1724"/>
      <c r="G102" s="1725"/>
      <c r="H102" s="4186"/>
      <c r="I102" s="4288"/>
      <c r="J102" s="4219"/>
      <c r="K102" s="4286"/>
      <c r="L102" s="3899"/>
      <c r="M102" s="3900"/>
      <c r="N102" s="4239"/>
      <c r="O102" s="4291">
        <v>1</v>
      </c>
      <c r="P102" s="4241" t="s">
        <v>6</v>
      </c>
      <c r="Q102" s="4150" t="s">
        <v>15</v>
      </c>
      <c r="R102" s="4150" t="s">
        <v>15</v>
      </c>
      <c r="S102" s="4150" t="s">
        <v>15</v>
      </c>
      <c r="T102" s="4150" t="s">
        <v>15</v>
      </c>
      <c r="U102" s="4150" t="s">
        <v>15</v>
      </c>
      <c r="V102" s="4150" t="s">
        <v>15</v>
      </c>
      <c r="W102" s="4150" t="s">
        <v>15</v>
      </c>
      <c r="X102" s="4150" t="s">
        <v>15</v>
      </c>
      <c r="Y102" s="4150"/>
      <c r="Z102" s="1099"/>
      <c r="AA102" s="1100"/>
      <c r="AB102" s="1100"/>
      <c r="AC102" s="1104"/>
      <c r="AD102" s="1104"/>
      <c r="AE102" s="1105"/>
      <c r="AF102" s="4289"/>
      <c r="AG102" s="4290"/>
      <c r="AH102" s="4290"/>
      <c r="AI102" s="4289"/>
      <c r="AJ102" s="4290"/>
      <c r="AK102" s="4290"/>
      <c r="AL102" s="1880"/>
      <c r="AM102" s="1718"/>
      <c r="AN102" s="1718"/>
      <c r="AO102" s="1718"/>
      <c r="AP102" s="1718"/>
      <c r="AQ102" s="1718"/>
      <c r="AR102" s="1718"/>
      <c r="AS102" s="1718"/>
      <c r="AT102" s="1718"/>
      <c r="AU102" s="1718"/>
      <c r="AV102" s="1718"/>
      <c r="AW102" s="1718"/>
      <c r="AX102" s="1718"/>
      <c r="AY102" s="1718"/>
      <c r="AZ102" s="1718"/>
      <c r="BA102" s="1718"/>
      <c r="BB102" s="1718"/>
      <c r="BC102" s="1718"/>
      <c r="BD102" s="1718"/>
      <c r="BE102" s="1718"/>
      <c r="BF102" s="1718"/>
    </row>
    <row r="103" spans="1:184" s="1559" customFormat="1" ht="11.25" customHeight="1">
      <c r="A103" s="1090"/>
      <c r="B103" s="1090"/>
      <c r="C103" s="1090"/>
      <c r="D103" s="1084"/>
      <c r="E103" s="1094"/>
      <c r="F103" s="1724"/>
      <c r="G103" s="1725"/>
      <c r="H103" s="4186"/>
      <c r="I103" s="4288"/>
      <c r="J103" s="4219"/>
      <c r="K103" s="4286"/>
      <c r="L103" s="3899"/>
      <c r="M103" s="3900"/>
      <c r="N103" s="4239"/>
      <c r="O103" s="4291"/>
      <c r="P103" s="4242"/>
      <c r="Q103" s="4150"/>
      <c r="R103" s="4150"/>
      <c r="S103" s="4244"/>
      <c r="T103" s="4150"/>
      <c r="U103" s="4150"/>
      <c r="V103" s="4150"/>
      <c r="W103" s="4150"/>
      <c r="X103" s="4150"/>
      <c r="Y103" s="4150"/>
      <c r="Z103" s="1723"/>
      <c r="AA103" s="1690">
        <v>1</v>
      </c>
      <c r="AB103" s="1103"/>
      <c r="AC103" s="1093"/>
      <c r="AD103" s="1103">
        <f>AB103</f>
        <v>0</v>
      </c>
      <c r="AE103" s="1093"/>
      <c r="AF103" s="4289"/>
      <c r="AG103" s="4290"/>
      <c r="AH103" s="4290"/>
      <c r="AI103" s="4289"/>
      <c r="AJ103" s="4290"/>
      <c r="AK103" s="4290"/>
      <c r="AL103" s="1880"/>
      <c r="AM103" s="1718"/>
      <c r="AN103" s="1718"/>
      <c r="AO103" s="1718"/>
      <c r="AP103" s="1718"/>
      <c r="AQ103" s="1718"/>
      <c r="AR103" s="1718"/>
      <c r="AS103" s="1718"/>
      <c r="AT103" s="1718"/>
      <c r="AU103" s="1718"/>
      <c r="AV103" s="1718"/>
      <c r="AW103" s="1718"/>
      <c r="AX103" s="1718"/>
      <c r="AY103" s="1718"/>
      <c r="AZ103" s="1718"/>
      <c r="BA103" s="1718"/>
      <c r="BB103" s="1718"/>
      <c r="BC103" s="1718"/>
      <c r="BD103" s="1718"/>
      <c r="BE103" s="1718"/>
      <c r="BF103" s="1718"/>
    </row>
    <row r="104" spans="1:184" s="1559" customFormat="1" ht="11.25" customHeight="1">
      <c r="A104" s="1090"/>
      <c r="B104" s="1090"/>
      <c r="C104" s="1090"/>
      <c r="D104" s="1084"/>
      <c r="E104" s="1094"/>
      <c r="F104" s="1724"/>
      <c r="G104" s="1725"/>
      <c r="H104" s="4186"/>
      <c r="I104" s="4288"/>
      <c r="J104" s="4219"/>
      <c r="K104" s="4286"/>
      <c r="L104" s="3899"/>
      <c r="M104" s="3900"/>
      <c r="N104" s="4239"/>
      <c r="O104" s="4291"/>
      <c r="P104" s="4243"/>
      <c r="Q104" s="4150"/>
      <c r="R104" s="4150"/>
      <c r="S104" s="4244"/>
      <c r="T104" s="4150"/>
      <c r="U104" s="4150"/>
      <c r="V104" s="4150"/>
      <c r="W104" s="4150"/>
      <c r="X104" s="4150"/>
      <c r="Y104" s="4150"/>
      <c r="Z104" s="1099"/>
      <c r="AA104" s="1100"/>
      <c r="AB104" s="1165" t="s">
        <v>2122</v>
      </c>
      <c r="AC104" s="1104"/>
      <c r="AD104" s="1104"/>
      <c r="AE104" s="1106"/>
      <c r="AF104" s="4289"/>
      <c r="AG104" s="4290"/>
      <c r="AH104" s="4290"/>
      <c r="AI104" s="4289"/>
      <c r="AJ104" s="4290"/>
      <c r="AK104" s="4290"/>
      <c r="AL104" s="1880"/>
      <c r="AM104" s="1718"/>
      <c r="AN104" s="1718"/>
      <c r="AO104" s="1718"/>
      <c r="AP104" s="1718"/>
      <c r="AQ104" s="1718"/>
      <c r="AR104" s="1718"/>
      <c r="AS104" s="1718"/>
      <c r="AT104" s="1718"/>
      <c r="AU104" s="1718"/>
      <c r="AV104" s="1718"/>
      <c r="AW104" s="1718"/>
      <c r="AX104" s="1718"/>
      <c r="AY104" s="1718"/>
      <c r="AZ104" s="1718"/>
      <c r="BA104" s="1718"/>
      <c r="BB104" s="1718"/>
      <c r="BC104" s="1718"/>
      <c r="BD104" s="1718"/>
      <c r="BE104" s="1718"/>
      <c r="BF104" s="1718"/>
    </row>
    <row r="105" spans="1:184" s="1559" customFormat="1" ht="11.25" customHeight="1">
      <c r="A105" s="1090"/>
      <c r="B105" s="1090"/>
      <c r="C105" s="1090"/>
      <c r="D105" s="1084"/>
      <c r="E105" s="1094"/>
      <c r="F105" s="1724"/>
      <c r="G105" s="1725"/>
      <c r="H105" s="4186"/>
      <c r="I105" s="4288"/>
      <c r="J105" s="4219"/>
      <c r="K105" s="4286"/>
      <c r="L105" s="3899"/>
      <c r="M105" s="3900"/>
      <c r="N105" s="1099"/>
      <c r="O105" s="1100"/>
      <c r="P105" s="1092" t="s">
        <v>2125</v>
      </c>
      <c r="Q105" s="1100"/>
      <c r="R105" s="1100"/>
      <c r="S105" s="1100"/>
      <c r="T105" s="1100"/>
      <c r="U105" s="1100"/>
      <c r="V105" s="1100"/>
      <c r="W105" s="1100"/>
      <c r="X105" s="1100"/>
      <c r="Y105" s="1100"/>
      <c r="Z105" s="1100"/>
      <c r="AA105" s="1100"/>
      <c r="AB105" s="1100"/>
      <c r="AC105" s="1100"/>
      <c r="AD105" s="1100"/>
      <c r="AE105" s="1107"/>
      <c r="AF105" s="4289"/>
      <c r="AG105" s="4290"/>
      <c r="AH105" s="4290"/>
      <c r="AI105" s="4289"/>
      <c r="AJ105" s="4290"/>
      <c r="AK105" s="4290"/>
      <c r="AL105" s="1880"/>
      <c r="AM105" s="1718"/>
      <c r="AN105" s="1718"/>
      <c r="AO105" s="1718"/>
      <c r="AP105" s="1718"/>
      <c r="AQ105" s="1718"/>
      <c r="AR105" s="1718"/>
      <c r="AS105" s="1718"/>
      <c r="AT105" s="1718"/>
      <c r="AU105" s="1718"/>
      <c r="AV105" s="1718"/>
      <c r="AW105" s="1718"/>
      <c r="AX105" s="1718"/>
      <c r="AY105" s="1718"/>
      <c r="AZ105" s="1718"/>
      <c r="BA105" s="1718"/>
      <c r="BB105" s="1718"/>
      <c r="BC105" s="1718"/>
      <c r="BD105" s="1718"/>
      <c r="BE105" s="1718"/>
      <c r="BF105" s="1718"/>
    </row>
    <row r="107" spans="1:184" s="1711" customFormat="1" ht="11.25" customHeight="1">
      <c r="A107" s="1711" t="s">
        <v>2126</v>
      </c>
    </row>
    <row r="108" spans="1:184" ht="17.25" customHeight="1"/>
    <row r="109" spans="1:184" s="852" customFormat="1" ht="21" customHeight="1">
      <c r="A109" s="1091"/>
      <c r="B109" s="867"/>
      <c r="D109" s="851"/>
      <c r="E109" s="866" t="s">
        <v>15</v>
      </c>
      <c r="F109" s="1045" t="e">
        <f>INDEX(IP_MAIN_LIST_NAME_IP,MATCH(A109,IP_MAIN_LIST_IP_ID,0))&amp;" ("&amp;INDEX(IP_MAIN_START_DATE,MATCH(A109,IP_MAIN_LIST_IP_ID,0))&amp;"-"&amp;INDEX(IP_MAIN_END_DATE,MATCH(A109,IP_MAIN_LIST_IP_ID,0))&amp;")"</f>
        <v>#N/A</v>
      </c>
      <c r="G109" s="1127"/>
      <c r="H109" s="1128"/>
      <c r="I109" s="1128"/>
      <c r="J109" s="1128"/>
      <c r="K109" s="1128"/>
      <c r="L109" s="1128"/>
      <c r="M109" s="1128"/>
      <c r="N109" s="1128"/>
      <c r="O109" s="1127"/>
      <c r="P109" s="1127"/>
      <c r="Q109" s="1127"/>
      <c r="R109" s="1127"/>
      <c r="S109" s="1127"/>
      <c r="T109" s="1127"/>
      <c r="U109" s="1129"/>
      <c r="V109" s="1129"/>
      <c r="W109" s="1129"/>
      <c r="X109" s="1129"/>
      <c r="Y109" s="1129"/>
      <c r="Z109" s="1129"/>
      <c r="AA109" s="1129"/>
      <c r="AB109" s="1127"/>
      <c r="AC109" s="1128"/>
      <c r="AD109" s="1128"/>
      <c r="AE109" s="1128"/>
      <c r="AF109" s="1128"/>
      <c r="AG109" s="1128"/>
      <c r="AH109" s="1128"/>
      <c r="AI109" s="1128"/>
      <c r="AJ109" s="1128"/>
      <c r="AK109" s="1128"/>
      <c r="AL109" s="1128"/>
      <c r="AM109" s="1128"/>
      <c r="AN109" s="1128"/>
      <c r="AO109" s="1128"/>
      <c r="AP109" s="1128"/>
      <c r="AQ109" s="1128"/>
      <c r="AR109" s="1128"/>
      <c r="AS109" s="1128"/>
      <c r="AT109" s="1128"/>
      <c r="AU109" s="1128"/>
      <c r="AV109" s="1128"/>
      <c r="AW109" s="1128"/>
      <c r="AX109" s="1128"/>
      <c r="AY109" s="1128"/>
      <c r="AZ109" s="1128"/>
      <c r="BA109" s="1128"/>
      <c r="BB109" s="1128"/>
      <c r="BC109" s="1128"/>
      <c r="BD109" s="1128"/>
      <c r="BE109" s="1128"/>
      <c r="BF109" s="1128"/>
      <c r="BG109" s="1128"/>
      <c r="BH109" s="1128"/>
      <c r="BI109" s="1128"/>
      <c r="BJ109" s="1128"/>
      <c r="BK109" s="1128"/>
      <c r="BL109" s="1128"/>
      <c r="BM109" s="1128"/>
      <c r="BN109" s="1128"/>
      <c r="BO109" s="1128"/>
      <c r="BP109" s="1128"/>
      <c r="BQ109" s="1128"/>
      <c r="BR109" s="1128"/>
      <c r="BS109" s="1128"/>
      <c r="BT109" s="1128"/>
      <c r="BU109" s="1128"/>
      <c r="BV109" s="1128"/>
      <c r="BW109" s="1128"/>
      <c r="BX109" s="1128"/>
      <c r="BY109" s="1128"/>
      <c r="BZ109" s="1128"/>
      <c r="CA109" s="1128"/>
      <c r="CB109" s="1128"/>
      <c r="CC109" s="1128"/>
      <c r="CD109" s="1128"/>
      <c r="CE109" s="1128"/>
      <c r="CF109" s="1128"/>
      <c r="CG109" s="1128"/>
      <c r="CH109" s="1128"/>
      <c r="CI109" s="1128"/>
      <c r="CJ109" s="1128"/>
      <c r="CK109" s="1128"/>
      <c r="CL109" s="1130"/>
      <c r="CM109" s="1130"/>
      <c r="CN109" s="1130"/>
      <c r="CO109" s="1130"/>
      <c r="CP109" s="1130"/>
      <c r="CQ109" s="1130"/>
      <c r="CR109" s="1130"/>
      <c r="CS109" s="1130"/>
      <c r="CT109" s="1130"/>
      <c r="CU109" s="1130"/>
      <c r="CV109" s="1130"/>
      <c r="CW109" s="1130"/>
      <c r="CX109" s="1130"/>
      <c r="CY109" s="1130"/>
      <c r="CZ109" s="1130"/>
      <c r="DA109" s="1130"/>
      <c r="DB109" s="1130"/>
      <c r="DC109" s="1130"/>
      <c r="DD109" s="1130"/>
      <c r="DE109" s="1130"/>
      <c r="DF109" s="1130"/>
      <c r="DG109" s="1130"/>
      <c r="DH109" s="1130"/>
      <c r="DI109" s="1130"/>
      <c r="DJ109" s="1130"/>
      <c r="DK109" s="1130"/>
      <c r="DL109" s="1130"/>
      <c r="DM109" s="1130"/>
      <c r="DN109" s="1130"/>
      <c r="DO109" s="1130"/>
      <c r="DP109" s="1130"/>
      <c r="DQ109" s="1130"/>
      <c r="DR109" s="1130"/>
      <c r="DS109" s="1130"/>
      <c r="DT109" s="1130"/>
      <c r="DU109" s="1130"/>
      <c r="DV109" s="1130"/>
      <c r="DW109" s="1130"/>
      <c r="DX109" s="1130"/>
      <c r="DY109" s="1130"/>
      <c r="DZ109" s="1130"/>
      <c r="EA109" s="1130"/>
      <c r="EB109" s="1130"/>
      <c r="EC109" s="1130"/>
      <c r="ED109" s="1130"/>
      <c r="EE109" s="1130"/>
      <c r="EF109" s="1130"/>
      <c r="EG109" s="1130"/>
      <c r="EH109" s="1130"/>
      <c r="EI109" s="1130"/>
      <c r="EJ109" s="1130"/>
      <c r="EK109" s="1130"/>
      <c r="EL109" s="1130"/>
      <c r="EM109" s="1130"/>
      <c r="EN109" s="1130"/>
      <c r="EO109" s="1130"/>
      <c r="EP109" s="1130"/>
      <c r="EQ109" s="1130"/>
      <c r="ER109" s="1130"/>
      <c r="ES109" s="1130"/>
      <c r="ET109" s="1130"/>
      <c r="EU109" s="1130"/>
      <c r="EV109" s="1130"/>
      <c r="EW109" s="1130"/>
      <c r="EX109" s="1130"/>
      <c r="EY109" s="1130"/>
      <c r="EZ109" s="1130"/>
      <c r="FA109" s="1130"/>
      <c r="FB109" s="1130"/>
      <c r="FC109" s="1130"/>
      <c r="FD109" s="1130"/>
      <c r="FE109" s="1130"/>
      <c r="FF109" s="1130"/>
      <c r="FG109" s="1130"/>
      <c r="FH109" s="1130"/>
      <c r="FI109" s="1130"/>
      <c r="FJ109" s="1130"/>
      <c r="FK109" s="1130"/>
      <c r="FL109" s="1130"/>
      <c r="FM109" s="1130"/>
      <c r="FN109" s="1130"/>
      <c r="FO109" s="1130"/>
      <c r="FP109" s="1130"/>
      <c r="FQ109" s="1130"/>
      <c r="FR109" s="1130"/>
      <c r="FS109" s="1130"/>
      <c r="FT109" s="1130"/>
      <c r="FU109" s="1130"/>
      <c r="FV109" s="1131"/>
      <c r="FW109" s="1125"/>
      <c r="FX109" s="1126"/>
    </row>
    <row r="110" spans="1:184" s="852" customFormat="1" ht="24.75" customHeight="1">
      <c r="B110" s="850"/>
      <c r="C110" s="851"/>
      <c r="D110" s="851"/>
      <c r="E110" s="1730"/>
      <c r="F110" s="1132">
        <v>1</v>
      </c>
      <c r="G110" s="1133"/>
      <c r="H110" s="1134"/>
      <c r="I110" s="1874"/>
      <c r="J110" s="1135"/>
      <c r="K110" s="1135"/>
      <c r="L110" s="1135"/>
      <c r="M110" s="1135"/>
      <c r="N110" s="1135"/>
      <c r="O110" s="1136"/>
      <c r="P110" s="1136"/>
      <c r="Q110" s="1136"/>
      <c r="R110" s="1136"/>
      <c r="S110" s="1136"/>
      <c r="T110" s="1136"/>
      <c r="U110" s="1136"/>
      <c r="V110" s="1136"/>
      <c r="W110" s="1136"/>
      <c r="X110" s="1136"/>
      <c r="Y110" s="1136"/>
      <c r="Z110" s="1136"/>
      <c r="AA110" s="1136"/>
      <c r="AB110" s="1136"/>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35"/>
      <c r="AV110" s="1135"/>
      <c r="AW110" s="1135"/>
      <c r="AX110" s="1135"/>
      <c r="AY110" s="1135"/>
      <c r="AZ110" s="1135"/>
      <c r="BA110" s="1135"/>
      <c r="BB110" s="1135"/>
      <c r="BC110" s="1135"/>
      <c r="BD110" s="1135"/>
      <c r="BE110" s="1135"/>
      <c r="BF110" s="1135"/>
      <c r="BG110" s="1135"/>
      <c r="BH110" s="1135"/>
      <c r="BI110" s="1135"/>
      <c r="BJ110" s="1135"/>
      <c r="BK110" s="1135"/>
      <c r="BL110" s="1135"/>
      <c r="BM110" s="1135"/>
      <c r="BN110" s="1135"/>
      <c r="BO110" s="1135"/>
      <c r="BP110" s="1135"/>
      <c r="BQ110" s="1135"/>
      <c r="BR110" s="1135"/>
      <c r="BS110" s="1135"/>
      <c r="BT110" s="1136"/>
      <c r="BU110" s="1136"/>
      <c r="BV110" s="1136"/>
      <c r="BW110" s="1136"/>
      <c r="BX110" s="1136"/>
      <c r="BY110" s="1136"/>
      <c r="BZ110" s="1136"/>
      <c r="CA110" s="1136"/>
      <c r="CB110" s="1136"/>
      <c r="CC110" s="1136"/>
      <c r="CD110" s="1136"/>
      <c r="CE110" s="1136"/>
      <c r="CF110" s="1136"/>
      <c r="CG110" s="1136"/>
      <c r="CH110" s="1136"/>
      <c r="CI110" s="1136"/>
      <c r="CJ110" s="1136"/>
      <c r="CK110" s="1136"/>
      <c r="CL110" s="1135"/>
      <c r="CM110" s="1135"/>
      <c r="CN110" s="1135"/>
      <c r="CO110" s="1135"/>
      <c r="CP110" s="1135"/>
      <c r="CQ110" s="1135"/>
      <c r="CR110" s="1135"/>
      <c r="CS110" s="1135"/>
      <c r="CT110" s="1135"/>
      <c r="CU110" s="1135"/>
      <c r="CV110" s="1135"/>
      <c r="CW110" s="1135"/>
      <c r="CX110" s="1135"/>
      <c r="CY110" s="1136"/>
      <c r="CZ110" s="1136"/>
      <c r="DA110" s="1136"/>
      <c r="DB110" s="1136"/>
      <c r="DC110" s="1136"/>
      <c r="DD110" s="1136"/>
      <c r="DE110" s="1136"/>
      <c r="DF110" s="1136"/>
      <c r="DG110" s="1136"/>
      <c r="DH110" s="1136"/>
      <c r="DI110" s="1136"/>
      <c r="DJ110" s="1136"/>
      <c r="DK110" s="1135"/>
      <c r="DL110" s="1135"/>
      <c r="DM110" s="1135"/>
      <c r="DN110" s="1135"/>
      <c r="DO110" s="1135"/>
      <c r="DP110" s="1135"/>
      <c r="DQ110" s="1135"/>
      <c r="DR110" s="1135"/>
      <c r="DS110" s="1135"/>
      <c r="DT110" s="1135"/>
      <c r="DU110" s="1135"/>
      <c r="DV110" s="1135"/>
      <c r="DW110" s="1135"/>
      <c r="DX110" s="1135"/>
      <c r="DY110" s="1135"/>
      <c r="DZ110" s="1135"/>
      <c r="EA110" s="1135"/>
      <c r="EB110" s="1135"/>
      <c r="EC110" s="1135"/>
      <c r="ED110" s="1135"/>
      <c r="EE110" s="1135"/>
      <c r="EF110" s="1135"/>
      <c r="EG110" s="1135"/>
      <c r="EH110" s="1135"/>
      <c r="EI110" s="1135"/>
      <c r="EJ110" s="1135"/>
      <c r="EK110" s="1135"/>
      <c r="EL110" s="1135"/>
      <c r="EM110" s="1135"/>
      <c r="EN110" s="1135"/>
      <c r="EO110" s="1135"/>
      <c r="EP110" s="1135"/>
      <c r="EQ110" s="1135"/>
      <c r="ER110" s="1135"/>
      <c r="ES110" s="1135"/>
      <c r="ET110" s="1135"/>
      <c r="EU110" s="1135"/>
      <c r="EV110" s="1135"/>
      <c r="EW110" s="1135"/>
      <c r="EX110" s="1135"/>
      <c r="EY110" s="1135"/>
      <c r="EZ110" s="1135"/>
      <c r="FA110" s="1135"/>
      <c r="FB110" s="1135"/>
      <c r="FC110" s="1135"/>
      <c r="FD110" s="1135"/>
      <c r="FE110" s="1135"/>
      <c r="FF110" s="1135"/>
      <c r="FG110" s="1135"/>
      <c r="FH110" s="1135"/>
      <c r="FI110" s="1135"/>
      <c r="FJ110" s="1135"/>
      <c r="FK110" s="1135"/>
      <c r="FL110" s="1135"/>
      <c r="FM110" s="1135"/>
      <c r="FN110" s="1135"/>
      <c r="FO110" s="1135"/>
      <c r="FP110" s="1135"/>
      <c r="FQ110" s="1135"/>
      <c r="FR110" s="1135"/>
      <c r="FS110" s="1135"/>
      <c r="FT110" s="1135"/>
      <c r="FU110" s="1135"/>
      <c r="FV110" s="1135"/>
      <c r="FW110" s="1135"/>
      <c r="FX110" s="1126"/>
    </row>
    <row r="111" spans="1:184" s="852" customFormat="1" ht="12" customHeight="1">
      <c r="A111" s="851"/>
      <c r="B111" s="850"/>
      <c r="C111" s="851"/>
      <c r="D111" s="851"/>
      <c r="E111" s="851"/>
      <c r="F111" s="1137"/>
      <c r="G111" s="1696" t="s">
        <v>2127</v>
      </c>
      <c r="H111" s="1138"/>
      <c r="I111" s="1138"/>
      <c r="J111" s="1138"/>
      <c r="K111" s="1138"/>
      <c r="L111" s="1138"/>
      <c r="M111" s="1138"/>
      <c r="N111" s="1138"/>
      <c r="O111" s="1138"/>
      <c r="P111" s="1138"/>
      <c r="Q111" s="1138"/>
      <c r="R111" s="1138"/>
      <c r="S111" s="1138"/>
      <c r="T111" s="1138"/>
      <c r="U111" s="1138"/>
      <c r="V111" s="1138"/>
      <c r="W111" s="1138"/>
      <c r="X111" s="1138"/>
      <c r="Y111" s="1138"/>
      <c r="Z111" s="1138"/>
      <c r="AA111" s="1138"/>
      <c r="AB111" s="1138"/>
      <c r="AC111" s="1138"/>
      <c r="AD111" s="1138"/>
      <c r="AE111" s="1138"/>
      <c r="AF111" s="1138"/>
      <c r="AG111" s="1138"/>
      <c r="AH111" s="1138"/>
      <c r="AI111" s="1138"/>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38"/>
      <c r="BS111" s="1138"/>
      <c r="BT111" s="1138"/>
      <c r="BU111" s="1138"/>
      <c r="BV111" s="1138"/>
      <c r="BW111" s="1138"/>
      <c r="BX111" s="1138"/>
      <c r="BY111" s="1138"/>
      <c r="BZ111" s="1138"/>
      <c r="CA111" s="1138"/>
      <c r="CB111" s="1138"/>
      <c r="CC111" s="1138"/>
      <c r="CD111" s="1138"/>
      <c r="CE111" s="1138"/>
      <c r="CF111" s="1138"/>
      <c r="CG111" s="1138"/>
      <c r="CH111" s="1138"/>
      <c r="CI111" s="1138"/>
      <c r="CJ111" s="1138"/>
      <c r="CK111" s="1138"/>
      <c r="CL111" s="1138"/>
      <c r="CM111" s="1138"/>
      <c r="CN111" s="1138"/>
      <c r="CO111" s="1138"/>
      <c r="CP111" s="1138"/>
      <c r="CQ111" s="1138"/>
      <c r="CR111" s="1138"/>
      <c r="CS111" s="1138"/>
      <c r="CT111" s="1138"/>
      <c r="CU111" s="1138"/>
      <c r="CV111" s="1138"/>
      <c r="CW111" s="1138"/>
      <c r="CX111" s="1138"/>
      <c r="CY111" s="1138"/>
      <c r="CZ111" s="1138"/>
      <c r="DA111" s="1138"/>
      <c r="DB111" s="1138"/>
      <c r="DC111" s="1138"/>
      <c r="DD111" s="1138"/>
      <c r="DE111" s="1138"/>
      <c r="DF111" s="1138"/>
      <c r="DG111" s="1138"/>
      <c r="DH111" s="1138"/>
      <c r="DI111" s="1138"/>
      <c r="DJ111" s="1138"/>
      <c r="DK111" s="1138"/>
      <c r="DL111" s="1138"/>
      <c r="DM111" s="1138"/>
      <c r="DN111" s="1138"/>
      <c r="DO111" s="1138"/>
      <c r="DP111" s="1138"/>
      <c r="DQ111" s="1138"/>
      <c r="DR111" s="1138"/>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8"/>
      <c r="EO111" s="1138"/>
      <c r="EP111" s="1138"/>
      <c r="EQ111" s="1138"/>
      <c r="ER111" s="1138"/>
      <c r="ES111" s="1138"/>
      <c r="ET111" s="1138"/>
      <c r="EU111" s="1138"/>
      <c r="EV111" s="1138"/>
      <c r="EW111" s="1138"/>
      <c r="EX111" s="1138"/>
      <c r="EY111" s="1138"/>
      <c r="EZ111" s="1138"/>
      <c r="FA111" s="1138"/>
      <c r="FB111" s="1138"/>
      <c r="FC111" s="1138"/>
      <c r="FD111" s="1138"/>
      <c r="FE111" s="1138"/>
      <c r="FF111" s="1138"/>
      <c r="FG111" s="1138"/>
      <c r="FH111" s="1138"/>
      <c r="FI111" s="1138"/>
      <c r="FJ111" s="1138"/>
      <c r="FK111" s="1138"/>
      <c r="FL111" s="1138"/>
      <c r="FM111" s="1138"/>
      <c r="FN111" s="1138"/>
      <c r="FO111" s="1138"/>
      <c r="FP111" s="1138"/>
      <c r="FQ111" s="1138"/>
      <c r="FR111" s="1138"/>
      <c r="FS111" s="1138"/>
      <c r="FT111" s="1138"/>
      <c r="FU111" s="1138"/>
      <c r="FV111" s="1138"/>
      <c r="FW111" s="1139"/>
      <c r="FX111" s="1140"/>
      <c r="FY111" s="868"/>
      <c r="FZ111" s="868"/>
      <c r="GA111" s="868"/>
      <c r="GB111" s="868"/>
    </row>
    <row r="113" spans="1:83" s="1711" customFormat="1" ht="11.25" customHeight="1">
      <c r="A113" s="1711" t="s">
        <v>2128</v>
      </c>
    </row>
    <row r="115" spans="1:83" s="1745" customFormat="1" ht="15" customHeight="1">
      <c r="A115" s="557"/>
      <c r="B115" s="558"/>
      <c r="C115" s="558"/>
      <c r="D115" s="4247" t="s">
        <v>184</v>
      </c>
      <c r="E115" s="4131" t="s">
        <v>180</v>
      </c>
      <c r="F115" s="4132"/>
      <c r="G115" s="4133"/>
      <c r="H115" s="4127" t="str">
        <f>IF(A115="","",INDEX(DIFFERENTIATION_UNMERGE_VD,MATCH(A115,DIFFERENTIATION_ID_DIFF,0)))</f>
        <v/>
      </c>
      <c r="I115" s="4127"/>
      <c r="J115" s="4127"/>
      <c r="K115" s="4127"/>
      <c r="L115" s="4127"/>
      <c r="M115" s="4127"/>
      <c r="N115" s="4127"/>
      <c r="O115" s="4127"/>
      <c r="P115" s="4127"/>
      <c r="Q115" s="4127"/>
      <c r="R115" s="4127"/>
      <c r="S115" s="653"/>
      <c r="T115" s="650"/>
      <c r="U115" s="559"/>
      <c r="V115" s="559"/>
      <c r="W115" s="560"/>
      <c r="X115" s="560"/>
      <c r="Y115" s="560"/>
      <c r="Z115" s="560"/>
      <c r="AA115" s="561"/>
      <c r="AB115" s="562"/>
      <c r="AC115" s="4130"/>
      <c r="AD115" s="563"/>
      <c r="AE115" s="564" t="s">
        <v>15</v>
      </c>
      <c r="AF115" s="564"/>
      <c r="AG115" s="565" t="s">
        <v>818</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1745" customFormat="1" ht="15" customHeight="1">
      <c r="A116" s="557"/>
      <c r="B116" s="558"/>
      <c r="C116" s="558"/>
      <c r="D116" s="4248"/>
      <c r="E116" s="4131" t="s">
        <v>773</v>
      </c>
      <c r="F116" s="4132"/>
      <c r="G116" s="4133"/>
      <c r="H116" s="4127" t="str">
        <f>IF(A115="","",INDEX(DIFFERENTIATION_UNMERGE_AREA,MATCH(A115,DIFFERENTIATION_ID_DIFF,0)))</f>
        <v/>
      </c>
      <c r="I116" s="4127"/>
      <c r="J116" s="4127"/>
      <c r="K116" s="4127"/>
      <c r="L116" s="4127"/>
      <c r="M116" s="4127"/>
      <c r="N116" s="4127"/>
      <c r="O116" s="4127"/>
      <c r="P116" s="4127"/>
      <c r="Q116" s="4127"/>
      <c r="R116" s="4127"/>
      <c r="S116" s="653"/>
      <c r="T116" s="650"/>
      <c r="U116" s="559"/>
      <c r="V116" s="559"/>
      <c r="W116" s="560"/>
      <c r="X116" s="560"/>
      <c r="Y116" s="560"/>
      <c r="Z116" s="560"/>
      <c r="AA116" s="561"/>
      <c r="AB116" s="562"/>
      <c r="AC116" s="4130"/>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1745" customFormat="1" ht="15" customHeight="1">
      <c r="A117" s="557"/>
      <c r="B117" s="558"/>
      <c r="C117" s="558"/>
      <c r="D117" s="4248"/>
      <c r="E117" s="4131" t="s">
        <v>774</v>
      </c>
      <c r="F117" s="4132"/>
      <c r="G117" s="4133"/>
      <c r="H117" s="4127" t="str">
        <f>IF(A115="","",INDEX(DIFFERENTIATION_UNMERGE_SYSTEM,MATCH(A115,DIFFERENTIATION_ID_DIFF,0)))</f>
        <v/>
      </c>
      <c r="I117" s="4127"/>
      <c r="J117" s="4127"/>
      <c r="K117" s="4127"/>
      <c r="L117" s="4127"/>
      <c r="M117" s="4127"/>
      <c r="N117" s="4127"/>
      <c r="O117" s="4127"/>
      <c r="P117" s="4127"/>
      <c r="Q117" s="4127"/>
      <c r="R117" s="4127"/>
      <c r="S117" s="653"/>
      <c r="T117" s="650"/>
      <c r="U117" s="559"/>
      <c r="V117" s="559"/>
      <c r="W117" s="560"/>
      <c r="X117" s="560"/>
      <c r="Y117" s="560"/>
      <c r="Z117" s="560"/>
      <c r="AA117" s="561"/>
      <c r="AB117" s="562"/>
      <c r="AC117" s="4130"/>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1745" customFormat="1" ht="24.75" customHeight="1">
      <c r="A118" s="1702"/>
      <c r="B118" s="1084"/>
      <c r="C118" s="346"/>
      <c r="D118" s="4248"/>
      <c r="E118" s="4129" t="s">
        <v>819</v>
      </c>
      <c r="F118" s="4129"/>
      <c r="G118" s="4129"/>
      <c r="H118" s="4129"/>
      <c r="I118" s="4129"/>
      <c r="J118" s="4129"/>
      <c r="K118" s="4129"/>
      <c r="L118" s="4129"/>
      <c r="M118" s="4129"/>
      <c r="N118" s="4129"/>
      <c r="O118" s="4129"/>
      <c r="P118" s="4129"/>
      <c r="Q118" s="492">
        <f>SUMIF(T119:T120,"i",Q119:Q120)</f>
        <v>0</v>
      </c>
      <c r="R118" s="944"/>
      <c r="S118" s="1694" t="s">
        <v>820</v>
      </c>
      <c r="T118" s="651" t="s">
        <v>821</v>
      </c>
      <c r="U118" s="4037">
        <v>1</v>
      </c>
      <c r="V118" s="4037" t="s">
        <v>784</v>
      </c>
      <c r="W118" s="1084"/>
      <c r="X118" s="1084"/>
      <c r="Y118" s="1084"/>
      <c r="Z118" s="1084"/>
      <c r="AA118" s="1560"/>
      <c r="AB118" s="1084"/>
      <c r="AC118" s="4130"/>
      <c r="AD118" s="563"/>
      <c r="AE118" s="1084"/>
      <c r="AF118" s="1084"/>
      <c r="AG118" s="1560"/>
      <c r="AH118" s="1560"/>
      <c r="AI118" s="1560"/>
      <c r="AJ118" s="1560"/>
      <c r="AK118" s="1560"/>
      <c r="AL118" s="1560"/>
      <c r="AM118" s="1560"/>
      <c r="AN118" s="1560"/>
      <c r="AO118" s="1560"/>
      <c r="AP118" s="1560"/>
      <c r="AQ118" s="1560"/>
      <c r="AR118" s="1560"/>
      <c r="AS118" s="1560"/>
      <c r="AT118" s="1560"/>
      <c r="AU118" s="1560"/>
      <c r="AV118" s="1560"/>
      <c r="AW118" s="1560"/>
      <c r="AX118" s="1560"/>
      <c r="AY118" s="1560"/>
      <c r="AZ118" s="1560"/>
      <c r="BA118" s="1560"/>
      <c r="BB118" s="1560"/>
      <c r="BC118" s="1560"/>
      <c r="BD118" s="1560"/>
      <c r="BE118" s="1560"/>
      <c r="BF118" s="1560"/>
      <c r="BG118" s="1560"/>
      <c r="BH118" s="1560"/>
      <c r="BI118" s="1560"/>
      <c r="BJ118" s="1560"/>
      <c r="BK118" s="1560"/>
      <c r="BL118" s="1560"/>
      <c r="BM118" s="1560"/>
      <c r="BN118" s="1560"/>
      <c r="BO118" s="1560"/>
      <c r="BP118" s="1560"/>
      <c r="BQ118" s="1560"/>
      <c r="BR118" s="1560"/>
      <c r="BS118" s="1560"/>
      <c r="BT118" s="1560"/>
      <c r="BU118" s="1560"/>
      <c r="BV118" s="1084"/>
      <c r="BW118" s="1084"/>
      <c r="BX118" s="1084"/>
      <c r="BY118" s="1084"/>
      <c r="BZ118" s="1084"/>
      <c r="CA118" s="1084"/>
      <c r="CB118" s="1084"/>
      <c r="CC118" s="1084"/>
      <c r="CD118" s="1084"/>
      <c r="CE118" s="1084"/>
    </row>
    <row r="119" spans="1:83" s="1745" customFormat="1" ht="11.25" hidden="1" customHeight="1">
      <c r="A119" s="1689"/>
      <c r="B119" s="1560"/>
      <c r="C119" s="1560"/>
      <c r="D119" s="4248"/>
      <c r="E119" s="569"/>
      <c r="F119" s="569">
        <v>0</v>
      </c>
      <c r="G119" s="569"/>
      <c r="H119" s="569"/>
      <c r="I119" s="569"/>
      <c r="J119" s="569"/>
      <c r="K119" s="569"/>
      <c r="L119" s="569"/>
      <c r="M119" s="569"/>
      <c r="N119" s="569"/>
      <c r="O119" s="569"/>
      <c r="P119" s="569"/>
      <c r="Q119" s="569"/>
      <c r="R119" s="569"/>
      <c r="S119" s="570"/>
      <c r="T119" s="652"/>
      <c r="U119" s="4037"/>
      <c r="V119" s="4037"/>
      <c r="W119" s="1560"/>
      <c r="X119" s="1560"/>
      <c r="Y119" s="1560"/>
      <c r="Z119" s="1560"/>
      <c r="AA119" s="1560"/>
      <c r="AB119" s="1084"/>
      <c r="AC119" s="4130"/>
      <c r="AD119" s="563"/>
      <c r="AE119" s="1084"/>
      <c r="AF119" s="1084"/>
      <c r="AG119" s="1560"/>
      <c r="AH119" s="1560"/>
      <c r="AI119" s="1560"/>
      <c r="AJ119" s="1560"/>
      <c r="AK119" s="1560"/>
      <c r="AL119" s="1560"/>
      <c r="AM119" s="1560"/>
      <c r="AN119" s="1560"/>
      <c r="AO119" s="1560"/>
      <c r="AP119" s="1560"/>
      <c r="AQ119" s="1560"/>
      <c r="AR119" s="1560"/>
      <c r="AS119" s="1560"/>
      <c r="AT119" s="1560"/>
      <c r="AU119" s="1560"/>
      <c r="AV119" s="1560"/>
      <c r="AW119" s="1560"/>
      <c r="AX119" s="1560"/>
      <c r="AY119" s="1560"/>
      <c r="AZ119" s="1560"/>
      <c r="BA119" s="1560"/>
      <c r="BB119" s="1560"/>
      <c r="BC119" s="1560"/>
      <c r="BD119" s="1560"/>
      <c r="BE119" s="1560"/>
      <c r="BF119" s="1560"/>
      <c r="BG119" s="1560"/>
      <c r="BH119" s="1560"/>
      <c r="BI119" s="1560"/>
      <c r="BJ119" s="1560"/>
      <c r="BK119" s="1560"/>
      <c r="BL119" s="1560"/>
      <c r="BM119" s="1560"/>
      <c r="BN119" s="1560"/>
      <c r="BO119" s="1560"/>
      <c r="BP119" s="1560"/>
      <c r="BQ119" s="1560"/>
      <c r="BR119" s="1560"/>
      <c r="BS119" s="1560"/>
      <c r="BT119" s="1560"/>
      <c r="BU119" s="1560"/>
      <c r="BV119" s="1560"/>
      <c r="BW119" s="1560"/>
      <c r="BX119" s="1560"/>
      <c r="BY119" s="1560"/>
      <c r="BZ119" s="1560"/>
      <c r="CA119" s="1560"/>
      <c r="CB119" s="1560"/>
      <c r="CC119" s="1560"/>
      <c r="CD119" s="1560"/>
      <c r="CE119" s="1560"/>
    </row>
    <row r="120" spans="1:83" s="1745" customFormat="1" ht="11.25" customHeight="1">
      <c r="A120" s="1702"/>
      <c r="B120" s="1084"/>
      <c r="C120" s="346"/>
      <c r="D120" s="4248"/>
      <c r="E120" s="583" t="s">
        <v>15</v>
      </c>
      <c r="F120" s="1092" t="s">
        <v>15</v>
      </c>
      <c r="G120" s="1092" t="s">
        <v>2129</v>
      </c>
      <c r="H120" s="585" t="s">
        <v>15</v>
      </c>
      <c r="I120" s="585"/>
      <c r="J120" s="585"/>
      <c r="K120" s="585"/>
      <c r="L120" s="585"/>
      <c r="M120" s="585"/>
      <c r="N120" s="585"/>
      <c r="O120" s="585"/>
      <c r="P120" s="585"/>
      <c r="Q120" s="585"/>
      <c r="R120" s="586"/>
      <c r="S120" s="587"/>
      <c r="T120" s="652"/>
      <c r="U120" s="4037"/>
      <c r="V120" s="4037"/>
      <c r="W120" s="1084"/>
      <c r="X120" s="1084"/>
      <c r="Y120" s="1084"/>
      <c r="Z120" s="1084"/>
      <c r="AA120" s="1560"/>
      <c r="AB120" s="1084"/>
      <c r="AC120" s="4130"/>
      <c r="AD120" s="563"/>
      <c r="AE120" s="1084"/>
      <c r="AF120" s="1084"/>
      <c r="AG120" s="1560"/>
      <c r="AH120" s="1560"/>
      <c r="AI120" s="1560"/>
      <c r="AJ120" s="1560"/>
      <c r="AK120" s="1560"/>
      <c r="AL120" s="1560"/>
      <c r="AM120" s="1560"/>
      <c r="AN120" s="1560"/>
      <c r="AO120" s="1560"/>
      <c r="AP120" s="1560"/>
      <c r="AQ120" s="1560"/>
      <c r="AR120" s="1560"/>
      <c r="AS120" s="1560"/>
      <c r="AT120" s="1560"/>
      <c r="AU120" s="1560"/>
      <c r="AV120" s="1560"/>
      <c r="AW120" s="1560"/>
      <c r="AX120" s="1560"/>
      <c r="AY120" s="1560"/>
      <c r="AZ120" s="1560"/>
      <c r="BA120" s="1560"/>
      <c r="BB120" s="1560"/>
      <c r="BC120" s="1560"/>
      <c r="BD120" s="1560"/>
      <c r="BE120" s="1560"/>
      <c r="BF120" s="1560"/>
      <c r="BG120" s="1560"/>
      <c r="BH120" s="1560"/>
      <c r="BI120" s="1560"/>
      <c r="BJ120" s="1560"/>
      <c r="BK120" s="1560"/>
      <c r="BL120" s="1560"/>
      <c r="BM120" s="1560"/>
      <c r="BN120" s="1560"/>
      <c r="BO120" s="1560"/>
      <c r="BP120" s="1560"/>
      <c r="BQ120" s="1560"/>
      <c r="BR120" s="1560"/>
      <c r="BS120" s="1560"/>
      <c r="BT120" s="1560"/>
      <c r="BU120" s="1560"/>
      <c r="BV120" s="1084"/>
      <c r="BW120" s="1084"/>
      <c r="BX120" s="1084"/>
      <c r="BY120" s="1084"/>
      <c r="BZ120" s="1084"/>
      <c r="CA120" s="1084"/>
      <c r="CB120" s="1084"/>
      <c r="CC120" s="1084"/>
      <c r="CD120" s="1084"/>
      <c r="CE120" s="1084"/>
    </row>
    <row r="121" spans="1:83" s="1745" customFormat="1" ht="24.75" customHeight="1">
      <c r="A121" s="1702"/>
      <c r="B121" s="1084"/>
      <c r="C121" s="346"/>
      <c r="D121" s="4248"/>
      <c r="E121" s="4129" t="s">
        <v>822</v>
      </c>
      <c r="F121" s="4129"/>
      <c r="G121" s="4129"/>
      <c r="H121" s="4129"/>
      <c r="I121" s="4129"/>
      <c r="J121" s="4129"/>
      <c r="K121" s="4129"/>
      <c r="L121" s="4129"/>
      <c r="M121" s="4129"/>
      <c r="N121" s="4129"/>
      <c r="O121" s="4129"/>
      <c r="P121" s="4129"/>
      <c r="Q121" s="492">
        <f>SUMIF(T122:T123,"i",Q122:Q123)</f>
        <v>0</v>
      </c>
      <c r="R121" s="944"/>
      <c r="S121" s="1694" t="s">
        <v>823</v>
      </c>
      <c r="T121" s="651" t="s">
        <v>821</v>
      </c>
      <c r="U121" s="4037">
        <v>1</v>
      </c>
      <c r="V121" s="4037" t="s">
        <v>784</v>
      </c>
      <c r="W121" s="1084"/>
      <c r="X121" s="1084"/>
      <c r="Y121" s="1084"/>
      <c r="Z121" s="1084"/>
      <c r="AA121" s="1560"/>
      <c r="AB121" s="1084"/>
      <c r="AC121" s="1692"/>
      <c r="AD121" s="563"/>
      <c r="AE121" s="1084"/>
      <c r="AF121" s="1084"/>
      <c r="AG121" s="1560"/>
      <c r="AH121" s="1560"/>
      <c r="AI121" s="1560"/>
      <c r="AJ121" s="1560"/>
      <c r="AK121" s="1560"/>
      <c r="AL121" s="1560"/>
      <c r="AM121" s="1560"/>
      <c r="AN121" s="1560"/>
      <c r="AO121" s="1560"/>
      <c r="AP121" s="1560"/>
      <c r="AQ121" s="1560"/>
      <c r="AR121" s="1560"/>
      <c r="AS121" s="1560"/>
      <c r="AT121" s="1560"/>
      <c r="AU121" s="1560"/>
      <c r="AV121" s="1560"/>
      <c r="AW121" s="1560"/>
      <c r="AX121" s="1560"/>
      <c r="AY121" s="1560"/>
      <c r="AZ121" s="1560"/>
      <c r="BA121" s="1560"/>
      <c r="BB121" s="1560"/>
      <c r="BC121" s="1560"/>
      <c r="BD121" s="1560"/>
      <c r="BE121" s="1560"/>
      <c r="BF121" s="1560"/>
      <c r="BG121" s="1560"/>
      <c r="BH121" s="1560"/>
      <c r="BI121" s="1560"/>
      <c r="BJ121" s="1560"/>
      <c r="BK121" s="1560"/>
      <c r="BL121" s="1560"/>
      <c r="BM121" s="1560"/>
      <c r="BN121" s="1560"/>
      <c r="BO121" s="1560"/>
      <c r="BP121" s="1560"/>
      <c r="BQ121" s="1560"/>
      <c r="BR121" s="1560"/>
      <c r="BS121" s="1560"/>
      <c r="BT121" s="1560"/>
      <c r="BU121" s="1560"/>
      <c r="BV121" s="1084"/>
      <c r="BW121" s="1084"/>
      <c r="BX121" s="1084"/>
      <c r="BY121" s="1084"/>
      <c r="BZ121" s="1084"/>
      <c r="CA121" s="1084"/>
      <c r="CB121" s="1084"/>
      <c r="CC121" s="1084"/>
      <c r="CD121" s="1084"/>
      <c r="CE121" s="1084"/>
    </row>
    <row r="122" spans="1:83" s="1745" customFormat="1" ht="11.25" hidden="1" customHeight="1">
      <c r="A122" s="1689"/>
      <c r="B122" s="1560"/>
      <c r="C122" s="1560"/>
      <c r="D122" s="4248"/>
      <c r="E122" s="569"/>
      <c r="F122" s="569">
        <v>0</v>
      </c>
      <c r="G122" s="569"/>
      <c r="H122" s="569"/>
      <c r="I122" s="569"/>
      <c r="J122" s="569"/>
      <c r="K122" s="569"/>
      <c r="L122" s="569"/>
      <c r="M122" s="569"/>
      <c r="N122" s="569"/>
      <c r="O122" s="569"/>
      <c r="P122" s="569"/>
      <c r="Q122" s="569"/>
      <c r="R122" s="569"/>
      <c r="S122" s="570"/>
      <c r="T122" s="652"/>
      <c r="U122" s="4037"/>
      <c r="V122" s="4037"/>
      <c r="W122" s="1560"/>
      <c r="X122" s="1560"/>
      <c r="Y122" s="1560"/>
      <c r="Z122" s="1560"/>
      <c r="AA122" s="1560"/>
      <c r="AB122" s="1084"/>
      <c r="AC122" s="1692"/>
      <c r="AD122" s="563"/>
      <c r="AE122" s="1084"/>
      <c r="AF122" s="1084"/>
      <c r="AG122" s="1560"/>
      <c r="AH122" s="1560"/>
      <c r="AI122" s="1560"/>
      <c r="AJ122" s="1560"/>
      <c r="AK122" s="1560"/>
      <c r="AL122" s="1560"/>
      <c r="AM122" s="156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BH122" s="1560"/>
      <c r="BI122" s="1560"/>
      <c r="BJ122" s="1560"/>
      <c r="BK122" s="1560"/>
      <c r="BL122" s="1560"/>
      <c r="BM122" s="1560"/>
      <c r="BN122" s="1560"/>
      <c r="BO122" s="1560"/>
      <c r="BP122" s="1560"/>
      <c r="BQ122" s="1560"/>
      <c r="BR122" s="1560"/>
      <c r="BS122" s="1560"/>
      <c r="BT122" s="1560"/>
      <c r="BU122" s="1560"/>
      <c r="BV122" s="1560"/>
      <c r="BW122" s="1560"/>
      <c r="BX122" s="1560"/>
      <c r="BY122" s="1560"/>
      <c r="BZ122" s="1560"/>
      <c r="CA122" s="1560"/>
      <c r="CB122" s="1560"/>
      <c r="CC122" s="1560"/>
      <c r="CD122" s="1560"/>
      <c r="CE122" s="1560"/>
    </row>
    <row r="123" spans="1:83" s="1745" customFormat="1" ht="11.25" customHeight="1">
      <c r="A123" s="1702"/>
      <c r="B123" s="1084"/>
      <c r="C123" s="346"/>
      <c r="D123" s="4249"/>
      <c r="E123" s="583" t="s">
        <v>15</v>
      </c>
      <c r="F123" s="1092" t="s">
        <v>15</v>
      </c>
      <c r="G123" s="1092" t="s">
        <v>2129</v>
      </c>
      <c r="H123" s="585" t="s">
        <v>15</v>
      </c>
      <c r="I123" s="585"/>
      <c r="J123" s="585"/>
      <c r="K123" s="585"/>
      <c r="L123" s="585"/>
      <c r="M123" s="585"/>
      <c r="N123" s="585"/>
      <c r="O123" s="585"/>
      <c r="P123" s="585"/>
      <c r="Q123" s="585"/>
      <c r="R123" s="586"/>
      <c r="S123" s="587"/>
      <c r="T123" s="652"/>
      <c r="U123" s="4037"/>
      <c r="V123" s="4037"/>
      <c r="W123" s="1084"/>
      <c r="X123" s="1084"/>
      <c r="Y123" s="1084"/>
      <c r="Z123" s="1084"/>
      <c r="AA123" s="1560"/>
      <c r="AB123" s="1084"/>
      <c r="AC123" s="1692"/>
      <c r="AD123" s="563"/>
      <c r="AE123" s="1084"/>
      <c r="AF123" s="1084"/>
      <c r="AG123" s="1560"/>
      <c r="AH123" s="1560"/>
      <c r="AI123" s="1560"/>
      <c r="AJ123" s="1560"/>
      <c r="AK123" s="1560"/>
      <c r="AL123" s="1560"/>
      <c r="AM123" s="1560"/>
      <c r="AN123" s="1560"/>
      <c r="AO123" s="1560"/>
      <c r="AP123" s="1560"/>
      <c r="AQ123" s="1560"/>
      <c r="AR123" s="1560"/>
      <c r="AS123" s="1560"/>
      <c r="AT123" s="1560"/>
      <c r="AU123" s="1560"/>
      <c r="AV123" s="1560"/>
      <c r="AW123" s="1560"/>
      <c r="AX123" s="1560"/>
      <c r="AY123" s="1560"/>
      <c r="AZ123" s="1560"/>
      <c r="BA123" s="1560"/>
      <c r="BB123" s="1560"/>
      <c r="BC123" s="1560"/>
      <c r="BD123" s="1560"/>
      <c r="BE123" s="1560"/>
      <c r="BF123" s="1560"/>
      <c r="BG123" s="1560"/>
      <c r="BH123" s="1560"/>
      <c r="BI123" s="1560"/>
      <c r="BJ123" s="1560"/>
      <c r="BK123" s="1560"/>
      <c r="BL123" s="1560"/>
      <c r="BM123" s="1560"/>
      <c r="BN123" s="1560"/>
      <c r="BO123" s="1560"/>
      <c r="BP123" s="1560"/>
      <c r="BQ123" s="1560"/>
      <c r="BR123" s="1560"/>
      <c r="BS123" s="1560"/>
      <c r="BT123" s="1560"/>
      <c r="BU123" s="1560"/>
      <c r="BV123" s="1084"/>
      <c r="BW123" s="1084"/>
      <c r="BX123" s="1084"/>
      <c r="BY123" s="1084"/>
      <c r="BZ123" s="1084"/>
      <c r="CA123" s="1084"/>
      <c r="CB123" s="1084"/>
      <c r="CC123" s="1084"/>
      <c r="CD123" s="1084"/>
      <c r="CE123" s="1084"/>
    </row>
    <row r="125" spans="1:83" s="1711" customFormat="1" ht="11.25" customHeight="1">
      <c r="A125" s="1711" t="s">
        <v>2130</v>
      </c>
    </row>
    <row r="127" spans="1:83" s="1745" customFormat="1" ht="15" customHeight="1">
      <c r="A127" s="557"/>
      <c r="B127" s="558"/>
      <c r="C127" s="558"/>
      <c r="D127" s="4247" t="s">
        <v>184</v>
      </c>
      <c r="E127" s="4131" t="s">
        <v>180</v>
      </c>
      <c r="F127" s="4132"/>
      <c r="G127" s="4133"/>
      <c r="H127" s="4127" t="str">
        <f>IF(A127="","",INDEX(DIFFERENTIATION_UNMERGE_VD,MATCH(A127,DIFFERENTIATION_ID_DIFF,0)))</f>
        <v/>
      </c>
      <c r="I127" s="4127"/>
      <c r="J127" s="4127"/>
      <c r="K127" s="4127"/>
      <c r="L127" s="4127"/>
      <c r="M127" s="4127"/>
      <c r="N127" s="4127"/>
      <c r="O127" s="4127"/>
      <c r="P127" s="4127"/>
      <c r="Q127" s="4127"/>
      <c r="R127" s="4127"/>
      <c r="S127" s="653"/>
      <c r="T127" s="650"/>
      <c r="U127" s="559"/>
      <c r="V127" s="559"/>
      <c r="W127" s="560"/>
      <c r="X127" s="560"/>
      <c r="Y127" s="560"/>
      <c r="Z127" s="560"/>
      <c r="AA127" s="561"/>
      <c r="AB127" s="562"/>
      <c r="AC127" s="4130"/>
      <c r="AD127" s="563"/>
      <c r="AE127" s="564" t="s">
        <v>15</v>
      </c>
      <c r="AF127" s="564"/>
      <c r="AG127" s="565" t="s">
        <v>818</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1745" customFormat="1" ht="15" customHeight="1">
      <c r="A128" s="557"/>
      <c r="B128" s="558"/>
      <c r="C128" s="558"/>
      <c r="D128" s="4248"/>
      <c r="E128" s="4131" t="s">
        <v>773</v>
      </c>
      <c r="F128" s="4132"/>
      <c r="G128" s="4133"/>
      <c r="H128" s="4127" t="str">
        <f>IF(A127="","",INDEX(DIFFERENTIATION_UNMERGE_AREA,MATCH(A127,DIFFERENTIATION_ID_DIFF,0)))</f>
        <v/>
      </c>
      <c r="I128" s="4127"/>
      <c r="J128" s="4127"/>
      <c r="K128" s="4127"/>
      <c r="L128" s="4127"/>
      <c r="M128" s="4127"/>
      <c r="N128" s="4127"/>
      <c r="O128" s="4127"/>
      <c r="P128" s="4127"/>
      <c r="Q128" s="4127"/>
      <c r="R128" s="4127"/>
      <c r="S128" s="653"/>
      <c r="T128" s="650"/>
      <c r="U128" s="559"/>
      <c r="V128" s="559"/>
      <c r="W128" s="560"/>
      <c r="X128" s="560"/>
      <c r="Y128" s="560"/>
      <c r="Z128" s="560"/>
      <c r="AA128" s="561"/>
      <c r="AB128" s="562"/>
      <c r="AC128" s="4130"/>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1745" customFormat="1" ht="15" customHeight="1">
      <c r="A129" s="557"/>
      <c r="B129" s="558"/>
      <c r="C129" s="558"/>
      <c r="D129" s="4248"/>
      <c r="E129" s="4131" t="s">
        <v>774</v>
      </c>
      <c r="F129" s="4132"/>
      <c r="G129" s="4133"/>
      <c r="H129" s="4127" t="str">
        <f>IF(A127="","",INDEX(DIFFERENTIATION_UNMERGE_SYSTEM,MATCH(A127,DIFFERENTIATION_ID_DIFF,0)))</f>
        <v/>
      </c>
      <c r="I129" s="4127"/>
      <c r="J129" s="4127"/>
      <c r="K129" s="4127"/>
      <c r="L129" s="4127"/>
      <c r="M129" s="4127"/>
      <c r="N129" s="4127"/>
      <c r="O129" s="4127"/>
      <c r="P129" s="4127"/>
      <c r="Q129" s="4127"/>
      <c r="R129" s="4127"/>
      <c r="S129" s="653"/>
      <c r="T129" s="650"/>
      <c r="U129" s="559"/>
      <c r="V129" s="559"/>
      <c r="W129" s="560"/>
      <c r="X129" s="560"/>
      <c r="Y129" s="560"/>
      <c r="Z129" s="560"/>
      <c r="AA129" s="561"/>
      <c r="AB129" s="562"/>
      <c r="AC129" s="4130"/>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1745" customFormat="1" ht="24.75" customHeight="1">
      <c r="A130" s="1702"/>
      <c r="B130" s="1084"/>
      <c r="C130" s="346"/>
      <c r="D130" s="4248"/>
      <c r="E130" s="4129" t="s">
        <v>819</v>
      </c>
      <c r="F130" s="4129"/>
      <c r="G130" s="4129"/>
      <c r="H130" s="4129"/>
      <c r="I130" s="4129"/>
      <c r="J130" s="4129"/>
      <c r="K130" s="4129"/>
      <c r="L130" s="4129"/>
      <c r="M130" s="4129"/>
      <c r="N130" s="4129"/>
      <c r="O130" s="4129"/>
      <c r="P130" s="4129"/>
      <c r="Q130" s="492">
        <f>SUMIF(T131:T132,"i",Q131:Q132)</f>
        <v>0</v>
      </c>
      <c r="R130" s="944"/>
      <c r="S130" s="1694" t="s">
        <v>820</v>
      </c>
      <c r="T130" s="651" t="s">
        <v>821</v>
      </c>
      <c r="U130" s="4037">
        <v>1</v>
      </c>
      <c r="V130" s="4037" t="s">
        <v>784</v>
      </c>
      <c r="W130" s="1084"/>
      <c r="X130" s="1084"/>
      <c r="Y130" s="1084"/>
      <c r="Z130" s="1084"/>
      <c r="AA130" s="1560"/>
      <c r="AB130" s="1084"/>
      <c r="AC130" s="4130"/>
      <c r="AD130" s="563"/>
      <c r="AE130" s="1084"/>
      <c r="AF130" s="1084"/>
      <c r="AG130" s="1560"/>
      <c r="AH130" s="1560"/>
      <c r="AI130" s="1560"/>
      <c r="AJ130" s="1560"/>
      <c r="AK130" s="1560"/>
      <c r="AL130" s="1560"/>
      <c r="AM130" s="1560"/>
      <c r="AN130" s="1560"/>
      <c r="AO130" s="1560"/>
      <c r="AP130" s="1560"/>
      <c r="AQ130" s="1560"/>
      <c r="AR130" s="1560"/>
      <c r="AS130" s="1560"/>
      <c r="AT130" s="1560"/>
      <c r="AU130" s="1560"/>
      <c r="AV130" s="1560"/>
      <c r="AW130" s="1560"/>
      <c r="AX130" s="1560"/>
      <c r="AY130" s="1560"/>
      <c r="AZ130" s="1560"/>
      <c r="BA130" s="1560"/>
      <c r="BB130" s="1560"/>
      <c r="BC130" s="1560"/>
      <c r="BD130" s="1560"/>
      <c r="BE130" s="1560"/>
      <c r="BF130" s="1560"/>
      <c r="BG130" s="1560"/>
      <c r="BH130" s="1560"/>
      <c r="BI130" s="1560"/>
      <c r="BJ130" s="1560"/>
      <c r="BK130" s="1560"/>
      <c r="BL130" s="1560"/>
      <c r="BM130" s="1560"/>
      <c r="BN130" s="1560"/>
      <c r="BO130" s="1560"/>
      <c r="BP130" s="1560"/>
      <c r="BQ130" s="1560"/>
      <c r="BR130" s="1560"/>
      <c r="BS130" s="1560"/>
      <c r="BT130" s="1560"/>
      <c r="BU130" s="1560"/>
      <c r="BV130" s="1084"/>
      <c r="BW130" s="1084"/>
      <c r="BX130" s="1084"/>
      <c r="BY130" s="1084"/>
      <c r="BZ130" s="1084"/>
      <c r="CA130" s="1084"/>
      <c r="CB130" s="1084"/>
      <c r="CC130" s="1084"/>
      <c r="CD130" s="1084"/>
      <c r="CE130" s="1084"/>
    </row>
    <row r="131" spans="1:83" s="1745" customFormat="1" ht="11.25" hidden="1" customHeight="1">
      <c r="A131" s="1689"/>
      <c r="B131" s="1560"/>
      <c r="C131" s="1560"/>
      <c r="D131" s="4248"/>
      <c r="E131" s="569"/>
      <c r="F131" s="569">
        <v>0</v>
      </c>
      <c r="G131" s="569"/>
      <c r="H131" s="569"/>
      <c r="I131" s="569"/>
      <c r="J131" s="569"/>
      <c r="K131" s="569"/>
      <c r="L131" s="569"/>
      <c r="M131" s="569"/>
      <c r="N131" s="569"/>
      <c r="O131" s="569"/>
      <c r="P131" s="569"/>
      <c r="Q131" s="569"/>
      <c r="R131" s="569"/>
      <c r="S131" s="570"/>
      <c r="T131" s="652"/>
      <c r="U131" s="4037"/>
      <c r="V131" s="4037"/>
      <c r="W131" s="1560"/>
      <c r="X131" s="1560"/>
      <c r="Y131" s="1560"/>
      <c r="Z131" s="1560"/>
      <c r="AA131" s="1560"/>
      <c r="AB131" s="1084"/>
      <c r="AC131" s="4130"/>
      <c r="AD131" s="563"/>
      <c r="AE131" s="1084"/>
      <c r="AF131" s="1084"/>
      <c r="AG131" s="1560"/>
      <c r="AH131" s="1560"/>
      <c r="AI131" s="1560"/>
      <c r="AJ131" s="1560"/>
      <c r="AK131" s="1560"/>
      <c r="AL131" s="1560"/>
      <c r="AM131" s="1560"/>
      <c r="AN131" s="1560"/>
      <c r="AO131" s="1560"/>
      <c r="AP131" s="1560"/>
      <c r="AQ131" s="1560"/>
      <c r="AR131" s="1560"/>
      <c r="AS131" s="1560"/>
      <c r="AT131" s="1560"/>
      <c r="AU131" s="1560"/>
      <c r="AV131" s="1560"/>
      <c r="AW131" s="1560"/>
      <c r="AX131" s="1560"/>
      <c r="AY131" s="1560"/>
      <c r="AZ131" s="1560"/>
      <c r="BA131" s="1560"/>
      <c r="BB131" s="1560"/>
      <c r="BC131" s="1560"/>
      <c r="BD131" s="1560"/>
      <c r="BE131" s="1560"/>
      <c r="BF131" s="1560"/>
      <c r="BG131" s="1560"/>
      <c r="BH131" s="1560"/>
      <c r="BI131" s="1560"/>
      <c r="BJ131" s="1560"/>
      <c r="BK131" s="1560"/>
      <c r="BL131" s="1560"/>
      <c r="BM131" s="1560"/>
      <c r="BN131" s="1560"/>
      <c r="BO131" s="1560"/>
      <c r="BP131" s="1560"/>
      <c r="BQ131" s="1560"/>
      <c r="BR131" s="1560"/>
      <c r="BS131" s="1560"/>
      <c r="BT131" s="1560"/>
      <c r="BU131" s="1560"/>
      <c r="BV131" s="1560"/>
      <c r="BW131" s="1560"/>
      <c r="BX131" s="1560"/>
      <c r="BY131" s="1560"/>
      <c r="BZ131" s="1560"/>
      <c r="CA131" s="1560"/>
      <c r="CB131" s="1560"/>
      <c r="CC131" s="1560"/>
      <c r="CD131" s="1560"/>
      <c r="CE131" s="1560"/>
    </row>
    <row r="132" spans="1:83" s="1745" customFormat="1" ht="11.25" customHeight="1">
      <c r="A132" s="1702"/>
      <c r="B132" s="1084"/>
      <c r="C132" s="346"/>
      <c r="D132" s="4248"/>
      <c r="E132" s="583" t="s">
        <v>15</v>
      </c>
      <c r="F132" s="1092" t="s">
        <v>15</v>
      </c>
      <c r="G132" s="1092" t="s">
        <v>2129</v>
      </c>
      <c r="H132" s="585" t="s">
        <v>15</v>
      </c>
      <c r="I132" s="585"/>
      <c r="J132" s="585"/>
      <c r="K132" s="585"/>
      <c r="L132" s="585"/>
      <c r="M132" s="585"/>
      <c r="N132" s="585"/>
      <c r="O132" s="585"/>
      <c r="P132" s="585"/>
      <c r="Q132" s="585"/>
      <c r="R132" s="586"/>
      <c r="S132" s="587"/>
      <c r="T132" s="652"/>
      <c r="U132" s="4037"/>
      <c r="V132" s="4037"/>
      <c r="W132" s="1084"/>
      <c r="X132" s="1084"/>
      <c r="Y132" s="1084"/>
      <c r="Z132" s="1084"/>
      <c r="AA132" s="1560"/>
      <c r="AB132" s="1084"/>
      <c r="AC132" s="4130"/>
      <c r="AD132" s="563"/>
      <c r="AE132" s="1084"/>
      <c r="AF132" s="1084"/>
      <c r="AG132" s="1560"/>
      <c r="AH132" s="1560"/>
      <c r="AI132" s="1560"/>
      <c r="AJ132" s="1560"/>
      <c r="AK132" s="1560"/>
      <c r="AL132" s="1560"/>
      <c r="AM132" s="1560"/>
      <c r="AN132" s="1560"/>
      <c r="AO132" s="1560"/>
      <c r="AP132" s="1560"/>
      <c r="AQ132" s="1560"/>
      <c r="AR132" s="1560"/>
      <c r="AS132" s="1560"/>
      <c r="AT132" s="1560"/>
      <c r="AU132" s="1560"/>
      <c r="AV132" s="1560"/>
      <c r="AW132" s="1560"/>
      <c r="AX132" s="1560"/>
      <c r="AY132" s="1560"/>
      <c r="AZ132" s="1560"/>
      <c r="BA132" s="1560"/>
      <c r="BB132" s="1560"/>
      <c r="BC132" s="1560"/>
      <c r="BD132" s="1560"/>
      <c r="BE132" s="1560"/>
      <c r="BF132" s="1560"/>
      <c r="BG132" s="1560"/>
      <c r="BH132" s="1560"/>
      <c r="BI132" s="1560"/>
      <c r="BJ132" s="1560"/>
      <c r="BK132" s="1560"/>
      <c r="BL132" s="1560"/>
      <c r="BM132" s="1560"/>
      <c r="BN132" s="1560"/>
      <c r="BO132" s="1560"/>
      <c r="BP132" s="1560"/>
      <c r="BQ132" s="1560"/>
      <c r="BR132" s="1560"/>
      <c r="BS132" s="1560"/>
      <c r="BT132" s="1560"/>
      <c r="BU132" s="1560"/>
      <c r="BV132" s="1084"/>
      <c r="BW132" s="1084"/>
      <c r="BX132" s="1084"/>
      <c r="BY132" s="1084"/>
      <c r="BZ132" s="1084"/>
      <c r="CA132" s="1084"/>
      <c r="CB132" s="1084"/>
      <c r="CC132" s="1084"/>
      <c r="CD132" s="1084"/>
      <c r="CE132" s="1084"/>
    </row>
    <row r="133" spans="1:83" s="1240" customFormat="1" ht="5.25" hidden="1" customHeight="1">
      <c r="A133" s="1689"/>
      <c r="B133" s="1560"/>
      <c r="C133" s="1560"/>
      <c r="D133" s="4248"/>
      <c r="E133" s="966"/>
      <c r="F133" s="966"/>
      <c r="G133" s="966"/>
      <c r="H133" s="966"/>
      <c r="I133" s="966"/>
      <c r="J133" s="966"/>
      <c r="K133" s="966"/>
      <c r="L133" s="966"/>
      <c r="M133" s="966"/>
      <c r="N133" s="966"/>
      <c r="O133" s="966"/>
      <c r="P133" s="966"/>
      <c r="Q133" s="967"/>
      <c r="R133" s="968"/>
      <c r="S133" s="969"/>
      <c r="T133" s="651" t="s">
        <v>821</v>
      </c>
      <c r="U133" s="4037">
        <v>1</v>
      </c>
      <c r="V133" s="4037" t="s">
        <v>784</v>
      </c>
      <c r="W133" s="1560"/>
      <c r="X133" s="1560"/>
      <c r="Y133" s="1560"/>
      <c r="Z133" s="1560"/>
      <c r="AA133" s="1560"/>
      <c r="AB133" s="1560"/>
      <c r="AC133" s="964"/>
      <c r="AD133" s="965"/>
      <c r="AE133" s="1560"/>
      <c r="AF133" s="1560"/>
      <c r="AG133" s="1560"/>
      <c r="AH133" s="1560"/>
      <c r="AI133" s="1560"/>
      <c r="AJ133" s="1560"/>
      <c r="AK133" s="1560"/>
      <c r="AL133" s="1560"/>
      <c r="AM133" s="1560"/>
      <c r="AN133" s="1560"/>
      <c r="AO133" s="1560"/>
      <c r="AP133" s="1560"/>
      <c r="AQ133" s="1560"/>
      <c r="AR133" s="1560"/>
      <c r="AS133" s="1560"/>
      <c r="AT133" s="1560"/>
      <c r="AU133" s="1560"/>
      <c r="AV133" s="1560"/>
      <c r="AW133" s="1560"/>
      <c r="AX133" s="1560"/>
      <c r="AY133" s="1560"/>
      <c r="AZ133" s="1560"/>
      <c r="BA133" s="1560"/>
      <c r="BB133" s="1560"/>
      <c r="BC133" s="1560"/>
      <c r="BD133" s="1560"/>
      <c r="BE133" s="1560"/>
      <c r="BF133" s="1560"/>
      <c r="BG133" s="1560"/>
      <c r="BH133" s="1560"/>
      <c r="BI133" s="1560"/>
      <c r="BJ133" s="1560"/>
      <c r="BK133" s="1560"/>
      <c r="BL133" s="1560"/>
      <c r="BM133" s="1560"/>
      <c r="BN133" s="1560"/>
      <c r="BO133" s="1560"/>
      <c r="BP133" s="1560"/>
      <c r="BQ133" s="1560"/>
      <c r="BR133" s="1560"/>
      <c r="BS133" s="1560"/>
      <c r="BT133" s="1560"/>
      <c r="BU133" s="1560"/>
      <c r="BV133" s="1560"/>
      <c r="BW133" s="1560"/>
      <c r="BX133" s="1560"/>
      <c r="BY133" s="1560"/>
      <c r="BZ133" s="1560"/>
      <c r="CA133" s="1560"/>
      <c r="CB133" s="1560"/>
      <c r="CC133" s="1560"/>
      <c r="CD133" s="1560"/>
      <c r="CE133" s="1560"/>
    </row>
    <row r="134" spans="1:83" s="1240" customFormat="1" ht="5.25" hidden="1" customHeight="1">
      <c r="A134" s="1689"/>
      <c r="B134" s="1560"/>
      <c r="C134" s="1560"/>
      <c r="D134" s="4248"/>
      <c r="E134" s="569"/>
      <c r="F134" s="569"/>
      <c r="G134" s="569"/>
      <c r="H134" s="569"/>
      <c r="I134" s="569"/>
      <c r="J134" s="569"/>
      <c r="K134" s="569"/>
      <c r="L134" s="569"/>
      <c r="M134" s="569"/>
      <c r="N134" s="569"/>
      <c r="O134" s="569"/>
      <c r="P134" s="569"/>
      <c r="Q134" s="569"/>
      <c r="R134" s="569"/>
      <c r="S134" s="570"/>
      <c r="T134" s="652"/>
      <c r="U134" s="4037"/>
      <c r="V134" s="4037"/>
      <c r="W134" s="1560"/>
      <c r="X134" s="1560"/>
      <c r="Y134" s="1560"/>
      <c r="Z134" s="1560"/>
      <c r="AA134" s="1560"/>
      <c r="AB134" s="1560"/>
      <c r="AC134" s="964"/>
      <c r="AD134" s="965"/>
      <c r="AE134" s="1560"/>
      <c r="AF134" s="1560"/>
      <c r="AG134" s="1560"/>
      <c r="AH134" s="1560"/>
      <c r="AI134" s="1560"/>
      <c r="AJ134" s="1560"/>
      <c r="AK134" s="1560"/>
      <c r="AL134" s="1560"/>
      <c r="AM134" s="1560"/>
      <c r="AN134" s="1560"/>
      <c r="AO134" s="1560"/>
      <c r="AP134" s="1560"/>
      <c r="AQ134" s="1560"/>
      <c r="AR134" s="1560"/>
      <c r="AS134" s="1560"/>
      <c r="AT134" s="1560"/>
      <c r="AU134" s="1560"/>
      <c r="AV134" s="1560"/>
      <c r="AW134" s="1560"/>
      <c r="AX134" s="1560"/>
      <c r="AY134" s="1560"/>
      <c r="AZ134" s="1560"/>
      <c r="BA134" s="1560"/>
      <c r="BB134" s="1560"/>
      <c r="BC134" s="1560"/>
      <c r="BD134" s="1560"/>
      <c r="BE134" s="1560"/>
      <c r="BF134" s="1560"/>
      <c r="BG134" s="1560"/>
      <c r="BH134" s="1560"/>
      <c r="BI134" s="1560"/>
      <c r="BJ134" s="1560"/>
      <c r="BK134" s="1560"/>
      <c r="BL134" s="1560"/>
      <c r="BM134" s="1560"/>
      <c r="BN134" s="1560"/>
      <c r="BO134" s="1560"/>
      <c r="BP134" s="1560"/>
      <c r="BQ134" s="1560"/>
      <c r="BR134" s="1560"/>
      <c r="BS134" s="1560"/>
      <c r="BT134" s="1560"/>
      <c r="BU134" s="1560"/>
      <c r="BV134" s="1560"/>
      <c r="BW134" s="1560"/>
      <c r="BX134" s="1560"/>
      <c r="BY134" s="1560"/>
      <c r="BZ134" s="1560"/>
      <c r="CA134" s="1560"/>
      <c r="CB134" s="1560"/>
      <c r="CC134" s="1560"/>
      <c r="CD134" s="1560"/>
      <c r="CE134" s="1560"/>
    </row>
    <row r="135" spans="1:83" s="1240" customFormat="1" ht="5.25" hidden="1" customHeight="1">
      <c r="A135" s="1689"/>
      <c r="B135" s="1560"/>
      <c r="C135" s="1560"/>
      <c r="D135" s="4249"/>
      <c r="E135" s="970"/>
      <c r="F135" s="971"/>
      <c r="G135" s="971"/>
      <c r="H135" s="972"/>
      <c r="I135" s="972"/>
      <c r="J135" s="972"/>
      <c r="K135" s="972"/>
      <c r="L135" s="972"/>
      <c r="M135" s="972"/>
      <c r="N135" s="972"/>
      <c r="O135" s="972"/>
      <c r="P135" s="972"/>
      <c r="Q135" s="972"/>
      <c r="R135" s="873"/>
      <c r="S135" s="973"/>
      <c r="T135" s="652"/>
      <c r="U135" s="4037"/>
      <c r="V135" s="4037"/>
      <c r="W135" s="1560"/>
      <c r="X135" s="1560"/>
      <c r="Y135" s="1560"/>
      <c r="Z135" s="1560"/>
      <c r="AA135" s="1560"/>
      <c r="AB135" s="1560"/>
      <c r="AC135" s="964"/>
      <c r="AD135" s="965"/>
      <c r="AE135" s="1560"/>
      <c r="AF135" s="1560"/>
      <c r="AG135" s="1560"/>
      <c r="AH135" s="1560"/>
      <c r="AI135" s="1560"/>
      <c r="AJ135" s="1560"/>
      <c r="AK135" s="1560"/>
      <c r="AL135" s="1560"/>
      <c r="AM135" s="1560"/>
      <c r="AN135" s="1560"/>
      <c r="AO135" s="1560"/>
      <c r="AP135" s="1560"/>
      <c r="AQ135" s="1560"/>
      <c r="AR135" s="1560"/>
      <c r="AS135" s="1560"/>
      <c r="AT135" s="1560"/>
      <c r="AU135" s="1560"/>
      <c r="AV135" s="1560"/>
      <c r="AW135" s="1560"/>
      <c r="AX135" s="1560"/>
      <c r="AY135" s="1560"/>
      <c r="AZ135" s="1560"/>
      <c r="BA135" s="1560"/>
      <c r="BB135" s="1560"/>
      <c r="BC135" s="1560"/>
      <c r="BD135" s="1560"/>
      <c r="BE135" s="1560"/>
      <c r="BF135" s="1560"/>
      <c r="BG135" s="1560"/>
      <c r="BH135" s="1560"/>
      <c r="BI135" s="1560"/>
      <c r="BJ135" s="1560"/>
      <c r="BK135" s="1560"/>
      <c r="BL135" s="1560"/>
      <c r="BM135" s="1560"/>
      <c r="BN135" s="1560"/>
      <c r="BO135" s="1560"/>
      <c r="BP135" s="1560"/>
      <c r="BQ135" s="1560"/>
      <c r="BR135" s="1560"/>
      <c r="BS135" s="1560"/>
      <c r="BT135" s="1560"/>
      <c r="BU135" s="1560"/>
      <c r="BV135" s="1560"/>
      <c r="BW135" s="1560"/>
      <c r="BX135" s="1560"/>
      <c r="BY135" s="1560"/>
      <c r="BZ135" s="1560"/>
      <c r="CA135" s="1560"/>
      <c r="CB135" s="1560"/>
      <c r="CC135" s="1560"/>
      <c r="CD135" s="1560"/>
      <c r="CE135" s="1560"/>
    </row>
    <row r="136" spans="1:83" ht="17.25" customHeight="1">
      <c r="D136" s="1731"/>
    </row>
    <row r="137" spans="1:83" s="1711" customFormat="1" ht="11.25" customHeight="1">
      <c r="A137" s="1711" t="s">
        <v>2131</v>
      </c>
    </row>
    <row r="139" spans="1:83" s="1745" customFormat="1" ht="45" customHeight="1">
      <c r="A139" s="1702"/>
      <c r="B139" s="1084"/>
      <c r="C139" s="346"/>
      <c r="D139" s="28"/>
      <c r="E139" s="4252"/>
      <c r="F139" s="3900" t="s">
        <v>184</v>
      </c>
      <c r="G139" s="4255" t="s">
        <v>15</v>
      </c>
      <c r="H139" s="224"/>
      <c r="I139" s="571" t="s">
        <v>184</v>
      </c>
      <c r="J139" s="1703" t="s">
        <v>2132</v>
      </c>
      <c r="K139" s="572" t="s">
        <v>755</v>
      </c>
      <c r="L139" s="4001" t="s">
        <v>755</v>
      </c>
      <c r="M139" s="3951"/>
      <c r="N139" s="572" t="s">
        <v>755</v>
      </c>
      <c r="O139" s="572" t="s">
        <v>755</v>
      </c>
      <c r="P139" s="572" t="s">
        <v>755</v>
      </c>
      <c r="Q139" s="573">
        <f>SUM(Q140:Q142)</f>
        <v>0</v>
      </c>
      <c r="R139" s="573">
        <f>IF(R136=0,0,(Q136/R136)*100)</f>
        <v>0</v>
      </c>
      <c r="S139" s="3977"/>
      <c r="T139" s="651" t="s">
        <v>821</v>
      </c>
      <c r="U139" s="28"/>
      <c r="V139" s="28"/>
      <c r="AC139" s="28"/>
    </row>
    <row r="140" spans="1:83" s="1745" customFormat="1" ht="11.25" customHeight="1">
      <c r="A140" s="1702"/>
      <c r="B140" s="1084"/>
      <c r="C140" s="346"/>
      <c r="D140" s="28"/>
      <c r="E140" s="4253"/>
      <c r="F140" s="3900"/>
      <c r="G140" s="4255"/>
      <c r="H140" s="3889"/>
      <c r="I140" s="4186" t="s">
        <v>1230</v>
      </c>
      <c r="J140" s="4250"/>
      <c r="K140" s="4251"/>
      <c r="L140" s="574"/>
      <c r="M140" s="575" t="s">
        <v>184</v>
      </c>
      <c r="N140" s="1691"/>
      <c r="O140" s="576"/>
      <c r="P140" s="577"/>
      <c r="Q140" s="576"/>
      <c r="R140" s="578">
        <v>0</v>
      </c>
      <c r="S140" s="3977"/>
      <c r="T140" s="651"/>
      <c r="U140" s="28"/>
      <c r="V140" s="28"/>
      <c r="AC140" s="28"/>
    </row>
    <row r="141" spans="1:83" s="1745" customFormat="1" ht="11.25" customHeight="1">
      <c r="A141" s="1702"/>
      <c r="B141" s="1084"/>
      <c r="C141" s="346"/>
      <c r="D141" s="28"/>
      <c r="E141" s="4253"/>
      <c r="F141" s="3900"/>
      <c r="G141" s="4255"/>
      <c r="H141" s="3889"/>
      <c r="I141" s="4186"/>
      <c r="J141" s="4250"/>
      <c r="K141" s="3954"/>
      <c r="L141" s="579"/>
      <c r="M141" s="580"/>
      <c r="N141" s="581" t="s">
        <v>2133</v>
      </c>
      <c r="O141" s="581"/>
      <c r="P141" s="581"/>
      <c r="Q141" s="581"/>
      <c r="R141" s="582"/>
      <c r="S141" s="3977"/>
      <c r="T141" s="651"/>
      <c r="U141" s="28"/>
      <c r="V141" s="28"/>
      <c r="AC141" s="28"/>
    </row>
    <row r="142" spans="1:83" s="1745" customFormat="1" ht="11.25" customHeight="1">
      <c r="A142" s="1702"/>
      <c r="B142" s="1084"/>
      <c r="C142" s="346"/>
      <c r="D142" s="28"/>
      <c r="E142" s="4254"/>
      <c r="F142" s="3900"/>
      <c r="G142" s="4256"/>
      <c r="H142" s="579" t="s">
        <v>15</v>
      </c>
      <c r="I142" s="580"/>
      <c r="J142" s="581" t="s">
        <v>2134</v>
      </c>
      <c r="K142" s="581"/>
      <c r="L142" s="581"/>
      <c r="M142" s="581"/>
      <c r="N142" s="581"/>
      <c r="O142" s="581"/>
      <c r="P142" s="581"/>
      <c r="Q142" s="581"/>
      <c r="R142" s="582"/>
      <c r="S142" s="3977"/>
      <c r="T142" s="651"/>
      <c r="U142" s="28"/>
      <c r="V142" s="28"/>
      <c r="AC142" s="28"/>
    </row>
    <row r="147" spans="1:43" s="1745" customFormat="1" ht="11.25" customHeight="1">
      <c r="A147" s="1702"/>
      <c r="B147" s="1084"/>
      <c r="C147" s="346"/>
      <c r="D147" s="28"/>
      <c r="E147" s="1725"/>
      <c r="F147" s="1725"/>
      <c r="G147" s="1725"/>
      <c r="H147" s="3889"/>
      <c r="I147" s="4186" t="s">
        <v>1230</v>
      </c>
      <c r="J147" s="4250"/>
      <c r="K147" s="4251"/>
      <c r="L147" s="574"/>
      <c r="M147" s="575" t="s">
        <v>184</v>
      </c>
      <c r="N147" s="1691"/>
      <c r="O147" s="576"/>
      <c r="P147" s="577"/>
      <c r="Q147" s="576"/>
      <c r="R147" s="578">
        <v>0</v>
      </c>
      <c r="S147" s="28"/>
      <c r="T147" s="651"/>
      <c r="U147" s="28"/>
      <c r="V147" s="28"/>
      <c r="AC147" s="28"/>
    </row>
    <row r="148" spans="1:43" s="1745" customFormat="1" ht="11.25" customHeight="1">
      <c r="A148" s="1702"/>
      <c r="B148" s="1084"/>
      <c r="C148" s="346"/>
      <c r="D148" s="28"/>
      <c r="E148" s="1725"/>
      <c r="F148" s="1725"/>
      <c r="G148" s="1725"/>
      <c r="H148" s="3889"/>
      <c r="I148" s="4186"/>
      <c r="J148" s="4250"/>
      <c r="K148" s="3954"/>
      <c r="L148" s="579"/>
      <c r="M148" s="580"/>
      <c r="N148" s="581" t="s">
        <v>2133</v>
      </c>
      <c r="O148" s="581"/>
      <c r="P148" s="581"/>
      <c r="Q148" s="581"/>
      <c r="R148" s="582"/>
      <c r="S148" s="28"/>
      <c r="T148" s="651"/>
      <c r="U148" s="28"/>
      <c r="V148" s="28"/>
      <c r="AC148" s="28"/>
    </row>
    <row r="150" spans="1:43" s="1745" customFormat="1" ht="11.25" customHeight="1">
      <c r="A150" s="1702"/>
      <c r="B150" s="1084"/>
      <c r="C150" s="346"/>
      <c r="D150" s="28"/>
      <c r="E150" s="1732"/>
      <c r="F150" s="1730"/>
      <c r="G150" s="1730"/>
      <c r="H150" s="1733"/>
      <c r="I150" s="1725"/>
      <c r="J150" s="1726"/>
      <c r="K150" s="1726"/>
      <c r="L150" s="574"/>
      <c r="M150" s="575" t="s">
        <v>184</v>
      </c>
      <c r="N150" s="1691"/>
      <c r="O150" s="576"/>
      <c r="P150" s="577"/>
      <c r="Q150" s="576"/>
      <c r="R150" s="578">
        <v>0</v>
      </c>
      <c r="S150" s="28"/>
      <c r="T150" s="651"/>
      <c r="U150" s="28"/>
      <c r="V150" s="28"/>
      <c r="AC150" s="28"/>
    </row>
    <row r="152" spans="1:43" s="1711" customFormat="1" ht="17.25" customHeight="1">
      <c r="A152" s="1711" t="s">
        <v>2135</v>
      </c>
    </row>
    <row r="153" spans="1:43" ht="17.25" customHeight="1">
      <c r="G153" s="1734"/>
      <c r="H153" s="1734"/>
      <c r="I153" s="1734"/>
      <c r="M153" s="1730"/>
    </row>
    <row r="154" spans="1:43" s="1748" customFormat="1" ht="17.25" customHeight="1">
      <c r="A154" s="1735"/>
      <c r="C154" s="1737"/>
      <c r="D154" s="3961"/>
      <c r="E154" s="3911"/>
      <c r="F154" s="3924"/>
      <c r="G154" s="3930"/>
      <c r="H154" s="3961"/>
      <c r="I154" s="3961">
        <v>1</v>
      </c>
      <c r="J154" s="3958"/>
      <c r="K154" s="3952" t="s">
        <v>53</v>
      </c>
      <c r="L154" s="3900"/>
      <c r="M154" s="3900" t="s">
        <v>184</v>
      </c>
      <c r="N154" s="3962" t="str">
        <f>IF(Z154="","",INDEX(TERRITORY_MR_LIST,MATCH(Z154,TERRITORY_LIST_ID,0)))</f>
        <v/>
      </c>
      <c r="O154" s="3952" t="s">
        <v>53</v>
      </c>
      <c r="P154" s="3900"/>
      <c r="Q154" s="3900" t="s">
        <v>184</v>
      </c>
      <c r="R154" s="3954" t="s">
        <v>15</v>
      </c>
      <c r="S154" s="3899" t="s">
        <v>53</v>
      </c>
      <c r="T154" s="1707"/>
      <c r="U154" s="1707" t="s">
        <v>184</v>
      </c>
      <c r="V154" s="1738" t="s">
        <v>15</v>
      </c>
      <c r="W154" s="1697"/>
      <c r="Y154" s="1191"/>
      <c r="Z154" s="1191"/>
      <c r="AA154" s="1191"/>
      <c r="AB154" s="1191"/>
      <c r="AC154" s="1191"/>
      <c r="AD154" s="1191"/>
      <c r="AE154" s="1191"/>
      <c r="AF154" s="1191"/>
      <c r="AG154" s="1191"/>
      <c r="AH154" s="1191"/>
      <c r="AI154" s="1191"/>
      <c r="AJ154" s="1191"/>
      <c r="AK154" s="1191"/>
      <c r="AL154" s="1739"/>
      <c r="AM154" s="1739"/>
      <c r="AN154" s="1191"/>
      <c r="AO154" s="1191"/>
      <c r="AP154" s="1191"/>
      <c r="AQ154" s="1191"/>
    </row>
    <row r="155" spans="1:43" s="1748" customFormat="1" ht="17.25" customHeight="1">
      <c r="A155" s="1735"/>
      <c r="C155" s="1740"/>
      <c r="D155" s="3961"/>
      <c r="E155" s="3911"/>
      <c r="F155" s="3925"/>
      <c r="G155" s="3930"/>
      <c r="H155" s="3961"/>
      <c r="I155" s="3961"/>
      <c r="J155" s="3958"/>
      <c r="K155" s="3953"/>
      <c r="L155" s="3900"/>
      <c r="M155" s="3900"/>
      <c r="N155" s="3962"/>
      <c r="O155" s="3953"/>
      <c r="P155" s="3900"/>
      <c r="Q155" s="3900"/>
      <c r="R155" s="3954"/>
      <c r="S155" s="3899"/>
      <c r="T155" s="252"/>
      <c r="U155" s="253"/>
      <c r="V155" s="253" t="s">
        <v>235</v>
      </c>
      <c r="W155" s="254"/>
      <c r="Y155" s="1183"/>
      <c r="Z155" s="1183"/>
      <c r="AA155" s="1183"/>
      <c r="AB155" s="1183"/>
      <c r="AC155" s="1183"/>
      <c r="AD155" s="1183"/>
      <c r="AE155" s="1183"/>
      <c r="AF155" s="1183"/>
      <c r="AG155" s="1183"/>
      <c r="AH155" s="1183"/>
      <c r="AI155" s="1183"/>
      <c r="AJ155" s="1183"/>
      <c r="AK155" s="1183"/>
    </row>
    <row r="156" spans="1:43" s="1748" customFormat="1" ht="17.25" customHeight="1">
      <c r="A156" s="1735"/>
      <c r="C156" s="1740"/>
      <c r="D156" s="3923"/>
      <c r="E156" s="3912"/>
      <c r="F156" s="3925"/>
      <c r="G156" s="3931"/>
      <c r="H156" s="3923"/>
      <c r="I156" s="3923"/>
      <c r="J156" s="3959"/>
      <c r="K156" s="3953"/>
      <c r="L156" s="3923"/>
      <c r="M156" s="3923"/>
      <c r="N156" s="3963"/>
      <c r="O156" s="3904"/>
      <c r="P156" s="252"/>
      <c r="Q156" s="253"/>
      <c r="R156" s="253" t="s">
        <v>236</v>
      </c>
      <c r="S156" s="1741"/>
      <c r="T156" s="1741"/>
      <c r="U156" s="1741"/>
      <c r="V156" s="1741"/>
      <c r="W156" s="254"/>
      <c r="Y156" s="1183"/>
      <c r="Z156" s="1183"/>
      <c r="AA156" s="1183"/>
      <c r="AB156" s="1183"/>
      <c r="AC156" s="1183"/>
      <c r="AD156" s="1183"/>
      <c r="AE156" s="1183"/>
      <c r="AF156" s="1183"/>
      <c r="AG156" s="1183"/>
      <c r="AH156" s="1183"/>
      <c r="AI156" s="1183"/>
      <c r="AJ156" s="1183"/>
      <c r="AK156" s="1183"/>
    </row>
    <row r="157" spans="1:43" s="1748" customFormat="1" ht="17.25" customHeight="1">
      <c r="A157" s="1735"/>
      <c r="C157" s="1740"/>
      <c r="D157" s="3923"/>
      <c r="E157" s="3912"/>
      <c r="F157" s="3925"/>
      <c r="G157" s="3931"/>
      <c r="H157" s="3923"/>
      <c r="I157" s="3923"/>
      <c r="J157" s="3959"/>
      <c r="K157" s="3904"/>
      <c r="L157" s="252"/>
      <c r="M157" s="253"/>
      <c r="N157" s="253" t="s">
        <v>286</v>
      </c>
      <c r="O157" s="253"/>
      <c r="P157" s="253"/>
      <c r="Q157" s="253"/>
      <c r="R157" s="253"/>
      <c r="S157" s="1741"/>
      <c r="T157" s="1741"/>
      <c r="U157" s="1741"/>
      <c r="V157" s="1741"/>
      <c r="W157" s="254"/>
      <c r="Y157" s="1183"/>
      <c r="Z157" s="1183"/>
      <c r="AA157" s="1183"/>
      <c r="AB157" s="1183"/>
      <c r="AC157" s="1183"/>
      <c r="AD157" s="1183"/>
      <c r="AE157" s="1183"/>
      <c r="AF157" s="1183"/>
      <c r="AG157" s="1183"/>
      <c r="AH157" s="1183"/>
      <c r="AI157" s="1183"/>
      <c r="AJ157" s="1183"/>
      <c r="AK157" s="1183"/>
    </row>
    <row r="158" spans="1:43" s="1748" customFormat="1" ht="17.25" customHeight="1">
      <c r="A158" s="1735"/>
      <c r="C158" s="1740"/>
      <c r="D158" s="3923"/>
      <c r="E158" s="3912"/>
      <c r="F158" s="3926"/>
      <c r="G158" s="3931"/>
      <c r="H158" s="252"/>
      <c r="I158" s="253"/>
      <c r="J158" s="253" t="s">
        <v>287</v>
      </c>
      <c r="K158" s="253"/>
      <c r="L158" s="253"/>
      <c r="M158" s="253"/>
      <c r="N158" s="253"/>
      <c r="O158" s="253"/>
      <c r="P158" s="253"/>
      <c r="Q158" s="253"/>
      <c r="R158" s="253"/>
      <c r="S158" s="1741"/>
      <c r="T158" s="1741"/>
      <c r="U158" s="1741"/>
      <c r="V158" s="1741"/>
      <c r="W158" s="254"/>
      <c r="Y158" s="1183"/>
      <c r="Z158" s="1183"/>
      <c r="AA158" s="1183"/>
      <c r="AB158" s="1183"/>
      <c r="AC158" s="1183"/>
      <c r="AD158" s="1183"/>
      <c r="AE158" s="1183"/>
      <c r="AF158" s="1183"/>
      <c r="AG158" s="1183"/>
      <c r="AH158" s="1183"/>
      <c r="AI158" s="1183"/>
      <c r="AJ158" s="1183"/>
      <c r="AK158" s="1183"/>
    </row>
    <row r="159" spans="1:43" ht="17.25" customHeight="1">
      <c r="G159" s="1734"/>
      <c r="H159" s="1734"/>
      <c r="I159" s="1734"/>
      <c r="M159" s="1730"/>
    </row>
    <row r="160" spans="1:43" s="1748" customFormat="1" ht="17.25" customHeight="1">
      <c r="A160" s="1735"/>
      <c r="C160" s="1737"/>
      <c r="D160" s="1725"/>
      <c r="E160" s="1742"/>
      <c r="F160" s="1680"/>
      <c r="G160" s="1743"/>
      <c r="H160" s="3961"/>
      <c r="I160" s="3961">
        <v>1</v>
      </c>
      <c r="J160" s="3958"/>
      <c r="K160" s="3952" t="s">
        <v>53</v>
      </c>
      <c r="L160" s="3900"/>
      <c r="M160" s="3900" t="s">
        <v>184</v>
      </c>
      <c r="N160" s="3962" t="str">
        <f>IF(Z160="","",INDEX(TERRITORY_MR_LIST,MATCH(Z160,TERRITORY_LIST_ID,0)))</f>
        <v/>
      </c>
      <c r="O160" s="3952" t="s">
        <v>53</v>
      </c>
      <c r="P160" s="3900"/>
      <c r="Q160" s="3900" t="s">
        <v>184</v>
      </c>
      <c r="R160" s="3954" t="s">
        <v>15</v>
      </c>
      <c r="S160" s="3899" t="s">
        <v>53</v>
      </c>
      <c r="T160" s="1707"/>
      <c r="U160" s="1707" t="s">
        <v>184</v>
      </c>
      <c r="V160" s="1738" t="s">
        <v>15</v>
      </c>
      <c r="W160" s="1697"/>
      <c r="Y160" s="1191"/>
      <c r="Z160" s="1191"/>
      <c r="AA160" s="1191"/>
      <c r="AB160" s="1191"/>
      <c r="AC160" s="1191"/>
      <c r="AD160" s="1191"/>
      <c r="AE160" s="1191"/>
      <c r="AF160" s="1191"/>
      <c r="AG160" s="1191"/>
      <c r="AH160" s="1191"/>
      <c r="AI160" s="1191"/>
      <c r="AJ160" s="1191"/>
      <c r="AK160" s="1191"/>
      <c r="AL160" s="1739"/>
      <c r="AM160" s="1739"/>
      <c r="AN160" s="1191"/>
      <c r="AO160" s="1191"/>
      <c r="AP160" s="1191"/>
      <c r="AQ160" s="1191"/>
    </row>
    <row r="161" spans="1:43" s="1748" customFormat="1" ht="17.25" customHeight="1">
      <c r="A161" s="1735"/>
      <c r="C161" s="1740"/>
      <c r="D161" s="1725"/>
      <c r="E161" s="1742"/>
      <c r="F161" s="1680"/>
      <c r="G161" s="1743"/>
      <c r="H161" s="3961"/>
      <c r="I161" s="3961"/>
      <c r="J161" s="3958"/>
      <c r="K161" s="3953"/>
      <c r="L161" s="3900"/>
      <c r="M161" s="3900"/>
      <c r="N161" s="3962"/>
      <c r="O161" s="3953"/>
      <c r="P161" s="3900"/>
      <c r="Q161" s="3900"/>
      <c r="R161" s="3954"/>
      <c r="S161" s="3899"/>
      <c r="T161" s="252"/>
      <c r="U161" s="253"/>
      <c r="V161" s="253" t="s">
        <v>235</v>
      </c>
      <c r="W161" s="254"/>
      <c r="Y161" s="1183"/>
      <c r="Z161" s="1183"/>
      <c r="AA161" s="1183"/>
      <c r="AB161" s="1183"/>
      <c r="AC161" s="1183"/>
      <c r="AD161" s="1183"/>
      <c r="AE161" s="1183"/>
      <c r="AF161" s="1183"/>
      <c r="AG161" s="1183"/>
      <c r="AH161" s="1183"/>
      <c r="AI161" s="1183"/>
      <c r="AJ161" s="1183"/>
      <c r="AK161" s="1183"/>
    </row>
    <row r="162" spans="1:43" s="1748" customFormat="1" ht="17.25" customHeight="1">
      <c r="A162" s="1735"/>
      <c r="C162" s="1740"/>
      <c r="D162" s="1725"/>
      <c r="E162" s="1742"/>
      <c r="F162" s="1680"/>
      <c r="G162" s="1743"/>
      <c r="H162" s="3923"/>
      <c r="I162" s="3923"/>
      <c r="J162" s="3959"/>
      <c r="K162" s="3953"/>
      <c r="L162" s="3923"/>
      <c r="M162" s="3923"/>
      <c r="N162" s="3963"/>
      <c r="O162" s="3904"/>
      <c r="P162" s="252"/>
      <c r="Q162" s="253"/>
      <c r="R162" s="253" t="s">
        <v>236</v>
      </c>
      <c r="S162" s="1741"/>
      <c r="T162" s="1741"/>
      <c r="U162" s="1741"/>
      <c r="V162" s="1741"/>
      <c r="W162" s="254"/>
      <c r="Y162" s="1183"/>
      <c r="Z162" s="1183"/>
      <c r="AA162" s="1183"/>
      <c r="AB162" s="1183"/>
      <c r="AC162" s="1183"/>
      <c r="AD162" s="1183"/>
      <c r="AE162" s="1183"/>
      <c r="AF162" s="1183"/>
      <c r="AG162" s="1183"/>
      <c r="AH162" s="1183"/>
      <c r="AI162" s="1183"/>
      <c r="AJ162" s="1183"/>
      <c r="AK162" s="1183"/>
    </row>
    <row r="163" spans="1:43" s="1748" customFormat="1" ht="17.25" customHeight="1">
      <c r="A163" s="1735"/>
      <c r="C163" s="1740"/>
      <c r="D163" s="1725"/>
      <c r="E163" s="1742"/>
      <c r="F163" s="1680"/>
      <c r="G163" s="1743"/>
      <c r="H163" s="3923"/>
      <c r="I163" s="3923"/>
      <c r="J163" s="3959"/>
      <c r="K163" s="3904"/>
      <c r="L163" s="252"/>
      <c r="M163" s="253"/>
      <c r="N163" s="253" t="s">
        <v>286</v>
      </c>
      <c r="O163" s="253"/>
      <c r="P163" s="253"/>
      <c r="Q163" s="253"/>
      <c r="R163" s="253"/>
      <c r="S163" s="1741"/>
      <c r="T163" s="1741"/>
      <c r="U163" s="1741"/>
      <c r="V163" s="1741"/>
      <c r="W163" s="254"/>
      <c r="Y163" s="1183"/>
      <c r="Z163" s="1183"/>
      <c r="AA163" s="1183"/>
      <c r="AB163" s="1183"/>
      <c r="AC163" s="1183"/>
      <c r="AD163" s="1183"/>
      <c r="AE163" s="1183"/>
      <c r="AF163" s="1183"/>
      <c r="AG163" s="1183"/>
      <c r="AH163" s="1183"/>
      <c r="AI163" s="1183"/>
      <c r="AJ163" s="1183"/>
      <c r="AK163" s="1183"/>
    </row>
    <row r="164" spans="1:43" ht="17.25" customHeight="1">
      <c r="G164" s="1734"/>
      <c r="H164" s="1734"/>
      <c r="I164" s="1734"/>
      <c r="M164" s="1730"/>
    </row>
    <row r="165" spans="1:43" s="1748" customFormat="1" ht="17.25" customHeight="1">
      <c r="A165" s="1735"/>
      <c r="C165" s="1737"/>
      <c r="D165" s="1725"/>
      <c r="E165" s="1742"/>
      <c r="F165" s="1680"/>
      <c r="G165" s="1743"/>
      <c r="H165" s="1725"/>
      <c r="I165" s="1725"/>
      <c r="J165" s="1744"/>
      <c r="K165" s="1656"/>
      <c r="L165" s="3900"/>
      <c r="M165" s="3900" t="s">
        <v>184</v>
      </c>
      <c r="N165" s="3962" t="str">
        <f>IF(Z165="","",INDEX(TERRITORY_MR_LIST,MATCH(Z165,TERRITORY_LIST_ID,0)))</f>
        <v/>
      </c>
      <c r="O165" s="3952" t="s">
        <v>53</v>
      </c>
      <c r="P165" s="3900"/>
      <c r="Q165" s="3900" t="s">
        <v>184</v>
      </c>
      <c r="R165" s="3954" t="s">
        <v>15</v>
      </c>
      <c r="S165" s="3899" t="s">
        <v>53</v>
      </c>
      <c r="T165" s="1707"/>
      <c r="U165" s="1707" t="s">
        <v>184</v>
      </c>
      <c r="V165" s="1738" t="s">
        <v>15</v>
      </c>
      <c r="W165" s="1697"/>
      <c r="Y165" s="1191"/>
      <c r="Z165" s="1191"/>
      <c r="AA165" s="1191"/>
      <c r="AB165" s="1191"/>
      <c r="AC165" s="1191"/>
      <c r="AD165" s="1191"/>
      <c r="AE165" s="1191"/>
      <c r="AF165" s="1191"/>
      <c r="AG165" s="1191"/>
      <c r="AH165" s="1191"/>
      <c r="AI165" s="1191"/>
      <c r="AJ165" s="1191"/>
      <c r="AK165" s="1191"/>
      <c r="AL165" s="1739"/>
      <c r="AM165" s="1739"/>
      <c r="AN165" s="1191"/>
      <c r="AO165" s="1191"/>
      <c r="AP165" s="1191"/>
      <c r="AQ165" s="1191"/>
    </row>
    <row r="166" spans="1:43" s="1748" customFormat="1" ht="17.25" customHeight="1">
      <c r="A166" s="1735"/>
      <c r="C166" s="1740"/>
      <c r="D166" s="1725"/>
      <c r="E166" s="1742"/>
      <c r="F166" s="1680"/>
      <c r="G166" s="1743"/>
      <c r="H166" s="1725"/>
      <c r="I166" s="1725"/>
      <c r="J166" s="1744"/>
      <c r="K166" s="1656"/>
      <c r="L166" s="3900"/>
      <c r="M166" s="3900"/>
      <c r="N166" s="3962"/>
      <c r="O166" s="3953"/>
      <c r="P166" s="3900"/>
      <c r="Q166" s="3900"/>
      <c r="R166" s="3954"/>
      <c r="S166" s="3899"/>
      <c r="T166" s="252"/>
      <c r="U166" s="253"/>
      <c r="V166" s="253" t="s">
        <v>235</v>
      </c>
      <c r="W166" s="254"/>
      <c r="Y166" s="1183"/>
      <c r="Z166" s="1183"/>
      <c r="AA166" s="1183"/>
      <c r="AB166" s="1183"/>
      <c r="AC166" s="1183"/>
      <c r="AD166" s="1183"/>
      <c r="AE166" s="1183"/>
      <c r="AF166" s="1183"/>
      <c r="AG166" s="1183"/>
      <c r="AH166" s="1183"/>
      <c r="AI166" s="1183"/>
      <c r="AJ166" s="1183"/>
      <c r="AK166" s="1183"/>
    </row>
    <row r="167" spans="1:43" s="1748" customFormat="1" ht="17.25" customHeight="1">
      <c r="A167" s="1735"/>
      <c r="C167" s="1740"/>
      <c r="D167" s="1725"/>
      <c r="E167" s="1742"/>
      <c r="F167" s="1680"/>
      <c r="G167" s="1743"/>
      <c r="H167" s="1725"/>
      <c r="I167" s="1725"/>
      <c r="J167" s="1744"/>
      <c r="K167" s="1656"/>
      <c r="L167" s="3923"/>
      <c r="M167" s="3923"/>
      <c r="N167" s="3963"/>
      <c r="O167" s="3904"/>
      <c r="P167" s="252"/>
      <c r="Q167" s="253"/>
      <c r="R167" s="253" t="s">
        <v>236</v>
      </c>
      <c r="S167" s="1741"/>
      <c r="T167" s="1741"/>
      <c r="U167" s="1741"/>
      <c r="V167" s="1741"/>
      <c r="W167" s="254"/>
      <c r="Y167" s="1183"/>
      <c r="Z167" s="1183"/>
      <c r="AA167" s="1183"/>
      <c r="AB167" s="1183"/>
      <c r="AC167" s="1183"/>
      <c r="AD167" s="1183"/>
      <c r="AE167" s="1183"/>
      <c r="AF167" s="1183"/>
      <c r="AG167" s="1183"/>
      <c r="AH167" s="1183"/>
      <c r="AI167" s="1183"/>
      <c r="AJ167" s="1183"/>
      <c r="AK167" s="1183"/>
    </row>
    <row r="168" spans="1:43" ht="17.25" customHeight="1">
      <c r="G168" s="1734"/>
      <c r="H168" s="1734"/>
      <c r="I168" s="1734"/>
      <c r="M168" s="1730"/>
    </row>
    <row r="169" spans="1:43" s="1748" customFormat="1" ht="17.25" customHeight="1">
      <c r="A169" s="1735"/>
      <c r="C169" s="1737"/>
      <c r="D169" s="1725"/>
      <c r="E169" s="1742"/>
      <c r="F169" s="1680"/>
      <c r="G169" s="1743"/>
      <c r="H169" s="1725"/>
      <c r="I169" s="1725"/>
      <c r="J169" s="1744"/>
      <c r="K169" s="1656"/>
      <c r="L169" s="1652"/>
      <c r="M169" s="1652"/>
      <c r="N169" s="1940"/>
      <c r="O169" s="1683"/>
      <c r="P169" s="3900"/>
      <c r="Q169" s="3900" t="s">
        <v>184</v>
      </c>
      <c r="R169" s="3954" t="s">
        <v>15</v>
      </c>
      <c r="S169" s="3899" t="s">
        <v>53</v>
      </c>
      <c r="T169" s="1707"/>
      <c r="U169" s="1707" t="s">
        <v>184</v>
      </c>
      <c r="V169" s="1738" t="s">
        <v>15</v>
      </c>
      <c r="W169" s="1697"/>
      <c r="Y169" s="1191"/>
      <c r="Z169" s="1191"/>
      <c r="AA169" s="1191"/>
      <c r="AB169" s="1191"/>
      <c r="AC169" s="1191"/>
      <c r="AD169" s="1191"/>
      <c r="AE169" s="1191"/>
      <c r="AF169" s="1191"/>
      <c r="AG169" s="1191"/>
      <c r="AH169" s="1191"/>
      <c r="AI169" s="1191"/>
      <c r="AJ169" s="1191"/>
      <c r="AK169" s="1191"/>
      <c r="AL169" s="1739"/>
      <c r="AM169" s="1739"/>
      <c r="AN169" s="1191"/>
      <c r="AO169" s="1191"/>
      <c r="AP169" s="1191"/>
      <c r="AQ169" s="1191"/>
    </row>
    <row r="170" spans="1:43" s="1748" customFormat="1" ht="17.25" customHeight="1">
      <c r="A170" s="1735"/>
      <c r="C170" s="1740"/>
      <c r="D170" s="1725"/>
      <c r="E170" s="1742"/>
      <c r="F170" s="1680"/>
      <c r="G170" s="1743"/>
      <c r="H170" s="1725"/>
      <c r="I170" s="1725"/>
      <c r="J170" s="1744"/>
      <c r="K170" s="1656"/>
      <c r="L170" s="1652"/>
      <c r="M170" s="1652"/>
      <c r="N170" s="1940"/>
      <c r="O170" s="1683"/>
      <c r="P170" s="3900"/>
      <c r="Q170" s="3900"/>
      <c r="R170" s="3954"/>
      <c r="S170" s="3899"/>
      <c r="T170" s="252"/>
      <c r="U170" s="253"/>
      <c r="V170" s="253" t="s">
        <v>235</v>
      </c>
      <c r="W170" s="254"/>
      <c r="Y170" s="1183"/>
      <c r="Z170" s="1183"/>
      <c r="AA170" s="1183"/>
      <c r="AB170" s="1183"/>
      <c r="AC170" s="1183"/>
      <c r="AD170" s="1183"/>
      <c r="AE170" s="1183"/>
      <c r="AF170" s="1183"/>
      <c r="AG170" s="1183"/>
      <c r="AH170" s="1183"/>
      <c r="AI170" s="1183"/>
      <c r="AJ170" s="1183"/>
      <c r="AK170" s="1183"/>
    </row>
    <row r="171" spans="1:43" ht="17.25" customHeight="1">
      <c r="G171" s="1734"/>
      <c r="H171" s="1734"/>
      <c r="I171" s="1734"/>
      <c r="M171" s="1730"/>
    </row>
    <row r="172" spans="1:43" s="1748" customFormat="1" ht="17.25" customHeight="1">
      <c r="A172" s="1735"/>
      <c r="C172" s="1737"/>
      <c r="D172" s="1725"/>
      <c r="E172" s="1742"/>
      <c r="F172" s="1680"/>
      <c r="G172" s="1743"/>
      <c r="H172" s="1652"/>
      <c r="I172" s="1652"/>
      <c r="J172" s="1653"/>
      <c r="K172" s="1743"/>
      <c r="L172" s="1652"/>
      <c r="M172" s="1652"/>
      <c r="N172" s="1743"/>
      <c r="O172" s="1743"/>
      <c r="P172" s="1652"/>
      <c r="Q172" s="1652"/>
      <c r="R172" s="1654"/>
      <c r="S172" s="1743"/>
      <c r="T172" s="1707"/>
      <c r="U172" s="1707" t="s">
        <v>184</v>
      </c>
      <c r="V172" s="1738" t="s">
        <v>15</v>
      </c>
      <c r="W172" s="1697"/>
      <c r="Y172" s="1191"/>
      <c r="Z172" s="1191"/>
      <c r="AA172" s="1191"/>
      <c r="AB172" s="1191"/>
      <c r="AC172" s="1191"/>
      <c r="AD172" s="1191"/>
      <c r="AE172" s="1191"/>
      <c r="AF172" s="1191"/>
      <c r="AG172" s="1191"/>
      <c r="AH172" s="1191"/>
      <c r="AI172" s="1191"/>
      <c r="AJ172" s="1191"/>
      <c r="AK172" s="1191"/>
      <c r="AL172" s="1739"/>
      <c r="AM172" s="1739"/>
      <c r="AN172" s="1191"/>
      <c r="AO172" s="1191"/>
      <c r="AP172" s="1191"/>
      <c r="AQ172" s="1191"/>
    </row>
    <row r="174" spans="1:43" s="1711" customFormat="1" ht="17.25" customHeight="1">
      <c r="A174" s="1711" t="s">
        <v>2136</v>
      </c>
    </row>
    <row r="175" spans="1:43" ht="17.25" customHeight="1">
      <c r="G175" s="1734"/>
      <c r="H175" s="1734"/>
      <c r="I175" s="1734"/>
      <c r="M175" s="1730"/>
    </row>
    <row r="176" spans="1:43" s="1748" customFormat="1" ht="17.25" customHeight="1">
      <c r="A176" s="1735"/>
      <c r="C176" s="1737"/>
      <c r="D176" s="3961"/>
      <c r="E176" s="3911"/>
      <c r="F176" s="3924"/>
      <c r="G176" s="3930"/>
      <c r="H176" s="3961"/>
      <c r="I176" s="3961">
        <v>1</v>
      </c>
      <c r="J176" s="3958"/>
      <c r="K176" s="3952" t="s">
        <v>53</v>
      </c>
      <c r="L176" s="3900"/>
      <c r="M176" s="3900" t="s">
        <v>184</v>
      </c>
      <c r="N176" s="3962" t="str">
        <f>IF(Z176="","",INDEX(TERRITORY_MR_LIST,MATCH(Z176,TERRITORY_LIST_ID,0)))</f>
        <v/>
      </c>
      <c r="O176" s="3952" t="s">
        <v>53</v>
      </c>
      <c r="P176" s="3900"/>
      <c r="Q176" s="3900" t="s">
        <v>184</v>
      </c>
      <c r="R176" s="3954" t="s">
        <v>15</v>
      </c>
      <c r="S176" s="4149" t="s">
        <v>6</v>
      </c>
      <c r="T176" s="1698"/>
      <c r="U176" s="1698" t="s">
        <v>184</v>
      </c>
      <c r="V176" s="1358"/>
      <c r="W176" s="3958"/>
      <c r="Y176" s="1191"/>
      <c r="Z176" s="1191"/>
      <c r="AA176" s="1191"/>
      <c r="AB176" s="1191"/>
      <c r="AC176" s="1191"/>
      <c r="AD176" s="1191"/>
      <c r="AE176" s="1191"/>
      <c r="AF176" s="1191"/>
      <c r="AG176" s="1191"/>
      <c r="AH176" s="1191"/>
      <c r="AI176" s="1191"/>
      <c r="AJ176" s="1191"/>
      <c r="AK176" s="1191"/>
      <c r="AL176" s="1739"/>
      <c r="AM176" s="1739"/>
      <c r="AN176" s="1191"/>
      <c r="AO176" s="1191"/>
      <c r="AP176" s="1191"/>
      <c r="AQ176" s="1191"/>
    </row>
    <row r="177" spans="1:43" s="1748" customFormat="1" ht="17.25" customHeight="1">
      <c r="A177" s="1735"/>
      <c r="C177" s="1740"/>
      <c r="D177" s="3961"/>
      <c r="E177" s="3911"/>
      <c r="F177" s="3925"/>
      <c r="G177" s="3930"/>
      <c r="H177" s="3961"/>
      <c r="I177" s="3961"/>
      <c r="J177" s="3958"/>
      <c r="K177" s="3953"/>
      <c r="L177" s="3900"/>
      <c r="M177" s="3900"/>
      <c r="N177" s="3962"/>
      <c r="O177" s="3953"/>
      <c r="P177" s="3900"/>
      <c r="Q177" s="3900"/>
      <c r="R177" s="3954"/>
      <c r="S177" s="4149"/>
      <c r="T177" s="1359"/>
      <c r="U177" s="1360"/>
      <c r="V177" s="1360"/>
      <c r="W177" s="3958"/>
      <c r="Y177" s="1183"/>
      <c r="Z177" s="1183"/>
      <c r="AA177" s="1183"/>
      <c r="AB177" s="1183"/>
      <c r="AC177" s="1183"/>
      <c r="AD177" s="1183"/>
      <c r="AE177" s="1183"/>
      <c r="AF177" s="1183"/>
      <c r="AG177" s="1183"/>
      <c r="AH177" s="1183"/>
      <c r="AI177" s="1183"/>
      <c r="AJ177" s="1183"/>
      <c r="AK177" s="1183"/>
    </row>
    <row r="178" spans="1:43" s="1748" customFormat="1" ht="17.25" customHeight="1">
      <c r="A178" s="1735"/>
      <c r="C178" s="1740"/>
      <c r="D178" s="3923"/>
      <c r="E178" s="3912"/>
      <c r="F178" s="3925"/>
      <c r="G178" s="3931"/>
      <c r="H178" s="3923"/>
      <c r="I178" s="3923"/>
      <c r="J178" s="3959"/>
      <c r="K178" s="3953"/>
      <c r="L178" s="3923"/>
      <c r="M178" s="3923"/>
      <c r="N178" s="3963"/>
      <c r="O178" s="3904"/>
      <c r="P178" s="252"/>
      <c r="Q178" s="253"/>
      <c r="R178" s="253" t="s">
        <v>236</v>
      </c>
      <c r="S178" s="1741"/>
      <c r="T178" s="1741"/>
      <c r="U178" s="1741"/>
      <c r="V178" s="1741"/>
      <c r="W178" s="1357"/>
      <c r="Y178" s="1183"/>
      <c r="Z178" s="1183"/>
      <c r="AA178" s="1183"/>
      <c r="AB178" s="1183"/>
      <c r="AC178" s="1183"/>
      <c r="AD178" s="1183"/>
      <c r="AE178" s="1183"/>
      <c r="AF178" s="1183"/>
      <c r="AG178" s="1183"/>
      <c r="AH178" s="1183"/>
      <c r="AI178" s="1183"/>
      <c r="AJ178" s="1183"/>
      <c r="AK178" s="1183"/>
    </row>
    <row r="179" spans="1:43" s="1748" customFormat="1" ht="17.25" customHeight="1">
      <c r="A179" s="1735"/>
      <c r="C179" s="1740"/>
      <c r="D179" s="3923"/>
      <c r="E179" s="3912"/>
      <c r="F179" s="3925"/>
      <c r="G179" s="3931"/>
      <c r="H179" s="3923"/>
      <c r="I179" s="3923"/>
      <c r="J179" s="3959"/>
      <c r="K179" s="3904"/>
      <c r="L179" s="252"/>
      <c r="M179" s="253"/>
      <c r="N179" s="253" t="s">
        <v>286</v>
      </c>
      <c r="O179" s="253"/>
      <c r="P179" s="253"/>
      <c r="Q179" s="253"/>
      <c r="R179" s="253"/>
      <c r="S179" s="1741"/>
      <c r="T179" s="1741"/>
      <c r="U179" s="1741"/>
      <c r="V179" s="1741"/>
      <c r="W179" s="254"/>
      <c r="Y179" s="1183"/>
      <c r="Z179" s="1183"/>
      <c r="AA179" s="1183"/>
      <c r="AB179" s="1183"/>
      <c r="AC179" s="1183"/>
      <c r="AD179" s="1183"/>
      <c r="AE179" s="1183"/>
      <c r="AF179" s="1183"/>
      <c r="AG179" s="1183"/>
      <c r="AH179" s="1183"/>
      <c r="AI179" s="1183"/>
      <c r="AJ179" s="1183"/>
      <c r="AK179" s="1183"/>
    </row>
    <row r="180" spans="1:43" s="1748" customFormat="1" ht="17.25" customHeight="1">
      <c r="A180" s="1735"/>
      <c r="C180" s="1740"/>
      <c r="D180" s="3923"/>
      <c r="E180" s="3912"/>
      <c r="F180" s="3926"/>
      <c r="G180" s="3931"/>
      <c r="H180" s="252"/>
      <c r="I180" s="253"/>
      <c r="J180" s="253" t="s">
        <v>287</v>
      </c>
      <c r="K180" s="253"/>
      <c r="L180" s="253"/>
      <c r="M180" s="253"/>
      <c r="N180" s="253"/>
      <c r="O180" s="253"/>
      <c r="P180" s="253"/>
      <c r="Q180" s="253"/>
      <c r="R180" s="253"/>
      <c r="S180" s="1741"/>
      <c r="T180" s="1741"/>
      <c r="U180" s="1741"/>
      <c r="V180" s="1741"/>
      <c r="W180" s="254"/>
      <c r="Y180" s="1183"/>
      <c r="Z180" s="1183"/>
      <c r="AA180" s="1183"/>
      <c r="AB180" s="1183"/>
      <c r="AC180" s="1183"/>
      <c r="AD180" s="1183"/>
      <c r="AE180" s="1183"/>
      <c r="AF180" s="1183"/>
      <c r="AG180" s="1183"/>
      <c r="AH180" s="1183"/>
      <c r="AI180" s="1183"/>
      <c r="AJ180" s="1183"/>
      <c r="AK180" s="1183"/>
    </row>
    <row r="181" spans="1:43" ht="17.25" customHeight="1"/>
    <row r="182" spans="1:43" s="1748" customFormat="1" ht="17.25" customHeight="1">
      <c r="A182" s="1735"/>
      <c r="C182" s="1737"/>
      <c r="D182" s="1725"/>
      <c r="E182" s="1742"/>
      <c r="F182" s="1680"/>
      <c r="G182" s="1743"/>
      <c r="H182" s="3961"/>
      <c r="I182" s="3961">
        <v>1</v>
      </c>
      <c r="J182" s="3958"/>
      <c r="K182" s="3952" t="s">
        <v>53</v>
      </c>
      <c r="L182" s="3900"/>
      <c r="M182" s="3900" t="s">
        <v>184</v>
      </c>
      <c r="N182" s="3962" t="str">
        <f>IF(Z182="","",INDEX(TERRITORY_MR_LIST,MATCH(Z182,TERRITORY_LIST_ID,0)))</f>
        <v/>
      </c>
      <c r="O182" s="3952" t="s">
        <v>53</v>
      </c>
      <c r="P182" s="3900"/>
      <c r="Q182" s="3900" t="s">
        <v>184</v>
      </c>
      <c r="R182" s="3954" t="s">
        <v>15</v>
      </c>
      <c r="S182" s="4149" t="s">
        <v>6</v>
      </c>
      <c r="T182" s="1698"/>
      <c r="U182" s="1698" t="s">
        <v>184</v>
      </c>
      <c r="V182" s="1358"/>
      <c r="W182" s="3958"/>
      <c r="Y182" s="1191"/>
      <c r="Z182" s="1191"/>
      <c r="AA182" s="1191"/>
      <c r="AB182" s="1191"/>
      <c r="AC182" s="1191"/>
      <c r="AD182" s="1191"/>
      <c r="AE182" s="1191"/>
      <c r="AF182" s="1191"/>
      <c r="AG182" s="1191"/>
      <c r="AH182" s="1191"/>
      <c r="AI182" s="1191"/>
      <c r="AJ182" s="1191"/>
      <c r="AK182" s="1191"/>
      <c r="AL182" s="1739"/>
      <c r="AM182" s="1739"/>
      <c r="AN182" s="1191"/>
      <c r="AO182" s="1191"/>
      <c r="AP182" s="1191"/>
      <c r="AQ182" s="1191"/>
    </row>
    <row r="183" spans="1:43" s="1748" customFormat="1" ht="17.25" customHeight="1">
      <c r="A183" s="1735"/>
      <c r="C183" s="1740"/>
      <c r="D183" s="1725"/>
      <c r="E183" s="1742"/>
      <c r="F183" s="1680"/>
      <c r="G183" s="1743"/>
      <c r="H183" s="3961"/>
      <c r="I183" s="3961"/>
      <c r="J183" s="3958"/>
      <c r="K183" s="3953"/>
      <c r="L183" s="3900"/>
      <c r="M183" s="3900"/>
      <c r="N183" s="3962"/>
      <c r="O183" s="3953"/>
      <c r="P183" s="3900"/>
      <c r="Q183" s="3900"/>
      <c r="R183" s="3954"/>
      <c r="S183" s="4149"/>
      <c r="T183" s="1359"/>
      <c r="U183" s="1360"/>
      <c r="V183" s="1360"/>
      <c r="W183" s="3958"/>
      <c r="Y183" s="1183"/>
      <c r="Z183" s="1183"/>
      <c r="AA183" s="1183"/>
      <c r="AB183" s="1183"/>
      <c r="AC183" s="1183"/>
      <c r="AD183" s="1183"/>
      <c r="AE183" s="1183"/>
      <c r="AF183" s="1183"/>
      <c r="AG183" s="1183"/>
      <c r="AH183" s="1183"/>
      <c r="AI183" s="1183"/>
      <c r="AJ183" s="1183"/>
      <c r="AK183" s="1183"/>
    </row>
    <row r="184" spans="1:43" s="1748" customFormat="1" ht="17.25" customHeight="1">
      <c r="A184" s="1735"/>
      <c r="C184" s="1740"/>
      <c r="D184" s="1725"/>
      <c r="E184" s="1742"/>
      <c r="F184" s="1680"/>
      <c r="G184" s="1743"/>
      <c r="H184" s="3923"/>
      <c r="I184" s="3923"/>
      <c r="J184" s="3959"/>
      <c r="K184" s="3953"/>
      <c r="L184" s="3923"/>
      <c r="M184" s="3923"/>
      <c r="N184" s="3963"/>
      <c r="O184" s="3904"/>
      <c r="P184" s="252"/>
      <c r="Q184" s="253"/>
      <c r="R184" s="253" t="s">
        <v>236</v>
      </c>
      <c r="S184" s="1741"/>
      <c r="T184" s="1741"/>
      <c r="U184" s="1741"/>
      <c r="V184" s="1741"/>
      <c r="W184" s="1357"/>
      <c r="Y184" s="1183"/>
      <c r="Z184" s="1183"/>
      <c r="AA184" s="1183"/>
      <c r="AB184" s="1183"/>
      <c r="AC184" s="1183"/>
      <c r="AD184" s="1183"/>
      <c r="AE184" s="1183"/>
      <c r="AF184" s="1183"/>
      <c r="AG184" s="1183"/>
      <c r="AH184" s="1183"/>
      <c r="AI184" s="1183"/>
      <c r="AJ184" s="1183"/>
      <c r="AK184" s="1183"/>
    </row>
    <row r="185" spans="1:43" s="1748" customFormat="1" ht="17.25" customHeight="1">
      <c r="A185" s="1735"/>
      <c r="C185" s="1740"/>
      <c r="D185" s="1725"/>
      <c r="E185" s="1742"/>
      <c r="F185" s="1680"/>
      <c r="G185" s="1743"/>
      <c r="H185" s="3923"/>
      <c r="I185" s="3923"/>
      <c r="J185" s="3959"/>
      <c r="K185" s="3904"/>
      <c r="L185" s="252"/>
      <c r="M185" s="253"/>
      <c r="N185" s="253" t="s">
        <v>286</v>
      </c>
      <c r="O185" s="253"/>
      <c r="P185" s="253"/>
      <c r="Q185" s="253"/>
      <c r="R185" s="253"/>
      <c r="S185" s="1741"/>
      <c r="T185" s="1741"/>
      <c r="U185" s="1741"/>
      <c r="V185" s="1741"/>
      <c r="W185" s="254"/>
      <c r="Y185" s="1183"/>
      <c r="Z185" s="1183"/>
      <c r="AA185" s="1183"/>
      <c r="AB185" s="1183"/>
      <c r="AC185" s="1183"/>
      <c r="AD185" s="1183"/>
      <c r="AE185" s="1183"/>
      <c r="AF185" s="1183"/>
      <c r="AG185" s="1183"/>
      <c r="AH185" s="1183"/>
      <c r="AI185" s="1183"/>
      <c r="AJ185" s="1183"/>
      <c r="AK185" s="1183"/>
    </row>
    <row r="186" spans="1:43" ht="17.25" customHeight="1"/>
    <row r="187" spans="1:43" s="1748" customFormat="1" ht="17.25" customHeight="1">
      <c r="A187" s="1735"/>
      <c r="C187" s="1737"/>
      <c r="D187" s="1725"/>
      <c r="E187" s="1742"/>
      <c r="F187" s="1680"/>
      <c r="G187" s="1743"/>
      <c r="H187" s="1725"/>
      <c r="I187" s="1725"/>
      <c r="J187" s="1746"/>
      <c r="K187" s="1743"/>
      <c r="L187" s="3900"/>
      <c r="M187" s="3900" t="s">
        <v>184</v>
      </c>
      <c r="N187" s="3962" t="str">
        <f>IF(Z187="","",INDEX(TERRITORY_MR_LIST,MATCH(Z187,TERRITORY_LIST_ID,0)))</f>
        <v/>
      </c>
      <c r="O187" s="3952" t="s">
        <v>53</v>
      </c>
      <c r="P187" s="3900"/>
      <c r="Q187" s="3900" t="s">
        <v>184</v>
      </c>
      <c r="R187" s="3954" t="s">
        <v>15</v>
      </c>
      <c r="S187" s="4149" t="s">
        <v>6</v>
      </c>
      <c r="T187" s="1698"/>
      <c r="U187" s="1698" t="s">
        <v>184</v>
      </c>
      <c r="V187" s="1358"/>
      <c r="W187" s="3958"/>
      <c r="Y187" s="1191"/>
      <c r="Z187" s="1191"/>
      <c r="AA187" s="1191"/>
      <c r="AB187" s="1191"/>
      <c r="AC187" s="1191"/>
      <c r="AD187" s="1191"/>
      <c r="AE187" s="1191"/>
      <c r="AF187" s="1191"/>
      <c r="AG187" s="1191"/>
      <c r="AH187" s="1191"/>
      <c r="AI187" s="1191"/>
      <c r="AJ187" s="1191"/>
      <c r="AK187" s="1191"/>
      <c r="AL187" s="1739"/>
      <c r="AM187" s="1739"/>
      <c r="AN187" s="1191"/>
      <c r="AO187" s="1191"/>
      <c r="AP187" s="1191"/>
      <c r="AQ187" s="1191"/>
    </row>
    <row r="188" spans="1:43" s="1748" customFormat="1" ht="17.25" customHeight="1">
      <c r="A188" s="1735"/>
      <c r="C188" s="1740"/>
      <c r="D188" s="1725"/>
      <c r="E188" s="1742"/>
      <c r="F188" s="1680"/>
      <c r="G188" s="1743"/>
      <c r="H188" s="1725"/>
      <c r="I188" s="1725"/>
      <c r="J188" s="1746"/>
      <c r="K188" s="1743"/>
      <c r="L188" s="3900"/>
      <c r="M188" s="3900"/>
      <c r="N188" s="3962"/>
      <c r="O188" s="3953"/>
      <c r="P188" s="3900"/>
      <c r="Q188" s="3900"/>
      <c r="R188" s="3954"/>
      <c r="S188" s="4149"/>
      <c r="T188" s="1359"/>
      <c r="U188" s="1360"/>
      <c r="V188" s="1360"/>
      <c r="W188" s="3958"/>
      <c r="Y188" s="1183"/>
      <c r="Z188" s="1183"/>
      <c r="AA188" s="1183"/>
      <c r="AB188" s="1183"/>
      <c r="AC188" s="1183"/>
      <c r="AD188" s="1183"/>
      <c r="AE188" s="1183"/>
      <c r="AF188" s="1183"/>
      <c r="AG188" s="1183"/>
      <c r="AH188" s="1183"/>
      <c r="AI188" s="1183"/>
      <c r="AJ188" s="1183"/>
      <c r="AK188" s="1183"/>
    </row>
    <row r="189" spans="1:43" s="1748" customFormat="1" ht="17.25" customHeight="1">
      <c r="A189" s="1735"/>
      <c r="C189" s="1740"/>
      <c r="D189" s="1725"/>
      <c r="E189" s="1742"/>
      <c r="F189" s="1680"/>
      <c r="G189" s="1743"/>
      <c r="H189" s="1725"/>
      <c r="I189" s="1725"/>
      <c r="J189" s="1746"/>
      <c r="K189" s="1743"/>
      <c r="L189" s="3923"/>
      <c r="M189" s="3923"/>
      <c r="N189" s="3963"/>
      <c r="O189" s="3904"/>
      <c r="P189" s="252"/>
      <c r="Q189" s="253"/>
      <c r="R189" s="253" t="s">
        <v>236</v>
      </c>
      <c r="S189" s="1741"/>
      <c r="T189" s="1741"/>
      <c r="U189" s="1741"/>
      <c r="V189" s="1741"/>
      <c r="W189" s="1357"/>
      <c r="Y189" s="1183"/>
      <c r="Z189" s="1183"/>
      <c r="AA189" s="1183"/>
      <c r="AB189" s="1183"/>
      <c r="AC189" s="1183"/>
      <c r="AD189" s="1183"/>
      <c r="AE189" s="1183"/>
      <c r="AF189" s="1183"/>
      <c r="AG189" s="1183"/>
      <c r="AH189" s="1183"/>
      <c r="AI189" s="1183"/>
      <c r="AJ189" s="1183"/>
      <c r="AK189" s="1183"/>
    </row>
    <row r="190" spans="1:43" ht="17.25" customHeight="1"/>
    <row r="191" spans="1:43" s="1748" customFormat="1" ht="17.25" customHeight="1">
      <c r="A191" s="1735"/>
      <c r="C191" s="1737"/>
      <c r="D191" s="1725"/>
      <c r="E191" s="1742"/>
      <c r="F191" s="1680"/>
      <c r="G191" s="1743"/>
      <c r="H191" s="1725"/>
      <c r="I191" s="1725"/>
      <c r="J191" s="1746"/>
      <c r="K191" s="1743"/>
      <c r="L191" s="1725"/>
      <c r="M191" s="1725"/>
      <c r="N191" s="1940"/>
      <c r="O191" s="1683"/>
      <c r="P191" s="3900"/>
      <c r="Q191" s="3900" t="s">
        <v>184</v>
      </c>
      <c r="R191" s="3954" t="s">
        <v>15</v>
      </c>
      <c r="S191" s="4149" t="s">
        <v>6</v>
      </c>
      <c r="T191" s="1698"/>
      <c r="U191" s="1698" t="s">
        <v>184</v>
      </c>
      <c r="V191" s="1358"/>
      <c r="W191" s="3958"/>
      <c r="Y191" s="1191"/>
      <c r="Z191" s="1191"/>
      <c r="AA191" s="1191"/>
      <c r="AB191" s="1191"/>
      <c r="AC191" s="1191"/>
      <c r="AD191" s="1191"/>
      <c r="AE191" s="1191"/>
      <c r="AF191" s="1191"/>
      <c r="AG191" s="1191"/>
      <c r="AH191" s="1191"/>
      <c r="AI191" s="1191"/>
      <c r="AJ191" s="1191"/>
      <c r="AK191" s="1191"/>
      <c r="AL191" s="1739"/>
      <c r="AM191" s="1739"/>
      <c r="AN191" s="1191"/>
      <c r="AO191" s="1191"/>
      <c r="AP191" s="1191"/>
      <c r="AQ191" s="1191"/>
    </row>
    <row r="192" spans="1:43" s="1748" customFormat="1" ht="17.25" customHeight="1">
      <c r="A192" s="1735"/>
      <c r="C192" s="1740"/>
      <c r="D192" s="1725"/>
      <c r="E192" s="1742"/>
      <c r="F192" s="1680"/>
      <c r="G192" s="1743"/>
      <c r="H192" s="1725"/>
      <c r="I192" s="1725"/>
      <c r="J192" s="1746"/>
      <c r="K192" s="1743"/>
      <c r="L192" s="1725"/>
      <c r="M192" s="1725"/>
      <c r="N192" s="1940"/>
      <c r="O192" s="1683"/>
      <c r="P192" s="3900"/>
      <c r="Q192" s="3900"/>
      <c r="R192" s="3954"/>
      <c r="S192" s="4149"/>
      <c r="T192" s="1359"/>
      <c r="U192" s="1360"/>
      <c r="V192" s="1360"/>
      <c r="W192" s="3958"/>
      <c r="Y192" s="1183"/>
      <c r="Z192" s="1183"/>
      <c r="AA192" s="1183"/>
      <c r="AB192" s="1183"/>
      <c r="AC192" s="1183"/>
      <c r="AD192" s="1183"/>
      <c r="AE192" s="1183"/>
      <c r="AF192" s="1183"/>
      <c r="AG192" s="1183"/>
      <c r="AH192" s="1183"/>
      <c r="AI192" s="1183"/>
      <c r="AJ192" s="1183"/>
      <c r="AK192" s="1183"/>
    </row>
    <row r="193" spans="1:63" ht="17.25" customHeight="1"/>
    <row r="194" spans="1:63" ht="16.5" customHeight="1">
      <c r="A194" s="1735"/>
      <c r="B194" s="1736"/>
      <c r="C194" s="1740"/>
      <c r="D194" s="3961"/>
      <c r="E194" s="3977"/>
      <c r="F194" s="3977"/>
      <c r="G194" s="3889"/>
      <c r="H194" s="3913"/>
      <c r="I194" s="3915"/>
      <c r="J194" s="3917"/>
      <c r="K194" s="3909"/>
      <c r="L194" s="3909"/>
      <c r="M194" s="3909"/>
      <c r="N194" s="3920"/>
      <c r="O194" s="3909"/>
      <c r="P194" s="3909"/>
      <c r="Q194" s="3909"/>
      <c r="R194" s="3907"/>
      <c r="S194" s="3909"/>
      <c r="T194" s="1679"/>
      <c r="U194" s="1679"/>
      <c r="V194" s="1747"/>
      <c r="W194" s="1220"/>
    </row>
    <row r="195" spans="1:63" ht="16.5" customHeight="1">
      <c r="A195" s="1735"/>
      <c r="B195" s="1736"/>
      <c r="C195" s="1740"/>
      <c r="D195" s="3961"/>
      <c r="E195" s="3977"/>
      <c r="F195" s="3977"/>
      <c r="G195" s="3889"/>
      <c r="H195" s="3914"/>
      <c r="I195" s="3916"/>
      <c r="J195" s="3918"/>
      <c r="K195" s="3910"/>
      <c r="L195" s="3910"/>
      <c r="M195" s="3910"/>
      <c r="N195" s="3921"/>
      <c r="O195" s="3910"/>
      <c r="P195" s="3910"/>
      <c r="Q195" s="3910"/>
      <c r="R195" s="3908"/>
      <c r="S195" s="3910"/>
      <c r="T195" s="1221"/>
      <c r="U195" s="1221"/>
      <c r="V195" s="1221"/>
      <c r="W195" s="1222"/>
    </row>
    <row r="196" spans="1:63" ht="17.25" customHeight="1">
      <c r="A196" s="1735"/>
      <c r="B196" s="1736"/>
      <c r="C196" s="1740"/>
      <c r="D196" s="3961"/>
      <c r="E196" s="3977"/>
      <c r="F196" s="3977"/>
      <c r="G196" s="3889"/>
      <c r="H196" s="3914"/>
      <c r="I196" s="3916"/>
      <c r="J196" s="3919"/>
      <c r="K196" s="3910"/>
      <c r="L196" s="3910"/>
      <c r="M196" s="3910"/>
      <c r="N196" s="3908"/>
      <c r="O196" s="3910"/>
      <c r="P196" s="1682"/>
      <c r="Q196" s="1221"/>
      <c r="R196" s="1221"/>
      <c r="S196" s="1748"/>
      <c r="T196" s="1748"/>
      <c r="U196" s="1748"/>
      <c r="V196" s="1748"/>
      <c r="W196" s="1222"/>
    </row>
    <row r="197" spans="1:63" ht="17.25" customHeight="1">
      <c r="A197" s="1735"/>
      <c r="B197" s="1736"/>
      <c r="C197" s="1740"/>
      <c r="D197" s="3961"/>
      <c r="E197" s="3977"/>
      <c r="F197" s="3977"/>
      <c r="G197" s="3889"/>
      <c r="H197" s="3914"/>
      <c r="I197" s="3916"/>
      <c r="J197" s="3919"/>
      <c r="K197" s="3910"/>
      <c r="L197" s="1221"/>
      <c r="M197" s="1221"/>
      <c r="N197" s="1221"/>
      <c r="O197" s="1221"/>
      <c r="P197" s="1221"/>
      <c r="Q197" s="1221"/>
      <c r="R197" s="1221"/>
      <c r="S197" s="1748"/>
      <c r="T197" s="1748"/>
      <c r="U197" s="1748"/>
      <c r="V197" s="1748"/>
      <c r="W197" s="1222"/>
    </row>
    <row r="198" spans="1:63" ht="17.25" customHeight="1">
      <c r="A198" s="1735"/>
      <c r="B198" s="1736"/>
      <c r="C198" s="1740"/>
      <c r="D198" s="3961"/>
      <c r="E198" s="3977"/>
      <c r="F198" s="3977"/>
      <c r="G198" s="3889"/>
      <c r="H198" s="1223"/>
      <c r="I198" s="1224"/>
      <c r="J198" s="1224"/>
      <c r="K198" s="1224"/>
      <c r="L198" s="1224"/>
      <c r="M198" s="1224"/>
      <c r="N198" s="1224"/>
      <c r="O198" s="1224"/>
      <c r="P198" s="1224"/>
      <c r="Q198" s="1224"/>
      <c r="R198" s="1224"/>
      <c r="S198" s="1749"/>
      <c r="T198" s="1749"/>
      <c r="U198" s="1749"/>
      <c r="V198" s="1749"/>
      <c r="W198" s="1226"/>
    </row>
    <row r="200" spans="1:63" s="1711" customFormat="1" ht="17.25" customHeight="1">
      <c r="A200" s="1711" t="s">
        <v>2137</v>
      </c>
    </row>
    <row r="201" spans="1:63" ht="17.25" customHeight="1">
      <c r="G201" s="1734"/>
      <c r="H201" s="1734"/>
      <c r="I201" s="1734"/>
      <c r="M201" s="1730"/>
    </row>
    <row r="202" spans="1:63" s="1745" customFormat="1" ht="15" customHeight="1">
      <c r="D202" s="4279"/>
      <c r="E202" s="3972"/>
      <c r="F202" s="3972"/>
      <c r="G202" s="3952"/>
      <c r="H202" s="1488"/>
      <c r="I202" s="4280">
        <v>1</v>
      </c>
      <c r="J202" s="3958"/>
      <c r="K202" s="1503"/>
      <c r="L202" s="3952" t="s">
        <v>53</v>
      </c>
      <c r="M202" s="3952" t="s">
        <v>53</v>
      </c>
      <c r="N202" s="1488"/>
      <c r="O202" s="3900" t="s">
        <v>184</v>
      </c>
      <c r="P202" s="4286"/>
      <c r="Q202" s="1504"/>
      <c r="R202" s="3952" t="s">
        <v>53</v>
      </c>
      <c r="S202" s="3952" t="s">
        <v>53</v>
      </c>
      <c r="T202" s="1750"/>
      <c r="U202" s="3900" t="s">
        <v>184</v>
      </c>
      <c r="V202" s="4276" t="str">
        <f>IF(AK202="","",INDEX(TERRITORY_MR_LIST,MATCH(AK202,TERRITORY_LIST_ID,0)))</f>
        <v/>
      </c>
      <c r="W202" s="1505"/>
      <c r="X202" s="3952" t="s">
        <v>53</v>
      </c>
      <c r="Y202" s="3952" t="s">
        <v>6</v>
      </c>
      <c r="Z202" s="1488"/>
      <c r="AA202" s="3900" t="s">
        <v>184</v>
      </c>
      <c r="AB202" s="4278"/>
      <c r="AC202" s="1506"/>
      <c r="AD202" s="3952" t="s">
        <v>53</v>
      </c>
      <c r="AE202" s="3952" t="s">
        <v>6</v>
      </c>
      <c r="AF202" s="1486"/>
      <c r="AG202" s="1707" t="s">
        <v>184</v>
      </c>
      <c r="AH202" s="1496"/>
      <c r="AI202" s="1697"/>
    </row>
    <row r="203" spans="1:63" s="1745" customFormat="1" ht="15" customHeight="1">
      <c r="D203" s="4279"/>
      <c r="E203" s="3972"/>
      <c r="F203" s="3972"/>
      <c r="G203" s="3953"/>
      <c r="H203" s="1488"/>
      <c r="I203" s="4280"/>
      <c r="J203" s="3958"/>
      <c r="K203" s="1487"/>
      <c r="L203" s="3953"/>
      <c r="M203" s="3953"/>
      <c r="N203" s="1488"/>
      <c r="O203" s="3900"/>
      <c r="P203" s="4286"/>
      <c r="Q203" s="1484"/>
      <c r="R203" s="3953"/>
      <c r="S203" s="3953"/>
      <c r="T203" s="1750"/>
      <c r="U203" s="3900"/>
      <c r="V203" s="4277"/>
      <c r="W203" s="1485"/>
      <c r="X203" s="3953"/>
      <c r="Y203" s="3953"/>
      <c r="Z203" s="1488"/>
      <c r="AA203" s="3900"/>
      <c r="AB203" s="4216"/>
      <c r="AC203" s="1489"/>
      <c r="AD203" s="3904"/>
      <c r="AE203" s="3904"/>
      <c r="AF203" s="1490"/>
      <c r="AG203" s="1491"/>
      <c r="AH203" s="4282" t="s">
        <v>2138</v>
      </c>
      <c r="AI203" s="4283"/>
    </row>
    <row r="204" spans="1:63" s="1745" customFormat="1" ht="15" customHeight="1">
      <c r="D204" s="4279"/>
      <c r="E204" s="3972"/>
      <c r="F204" s="3972"/>
      <c r="G204" s="3953"/>
      <c r="H204" s="1488"/>
      <c r="I204" s="4280"/>
      <c r="J204" s="3958"/>
      <c r="K204" s="1487"/>
      <c r="L204" s="3953"/>
      <c r="M204" s="3953"/>
      <c r="N204" s="1488"/>
      <c r="O204" s="3900"/>
      <c r="P204" s="4286"/>
      <c r="Q204" s="1484"/>
      <c r="R204" s="3953"/>
      <c r="S204" s="3953"/>
      <c r="T204" s="1750"/>
      <c r="U204" s="3900"/>
      <c r="V204" s="4277"/>
      <c r="W204" s="1485"/>
      <c r="X204" s="3953"/>
      <c r="Y204" s="3953"/>
      <c r="Z204" s="1527"/>
      <c r="AA204" s="1493"/>
      <c r="AB204" s="4284" t="s">
        <v>2139</v>
      </c>
      <c r="AC204" s="4284"/>
      <c r="AD204" s="4284"/>
      <c r="AE204" s="4284"/>
      <c r="AF204" s="4284"/>
      <c r="AG204" s="4284"/>
      <c r="AH204" s="4284"/>
      <c r="AI204" s="4285"/>
    </row>
    <row r="205" spans="1:63" s="1745" customFormat="1" ht="15" customHeight="1">
      <c r="D205" s="4279"/>
      <c r="E205" s="3972"/>
      <c r="F205" s="3972"/>
      <c r="G205" s="3953"/>
      <c r="H205" s="1488"/>
      <c r="I205" s="4280"/>
      <c r="J205" s="3958"/>
      <c r="K205" s="1487"/>
      <c r="L205" s="3953"/>
      <c r="M205" s="3953"/>
      <c r="N205" s="1488"/>
      <c r="O205" s="3900"/>
      <c r="P205" s="4287"/>
      <c r="Q205" s="1484"/>
      <c r="R205" s="3953"/>
      <c r="S205" s="3953"/>
      <c r="T205" s="1751"/>
      <c r="U205" s="1528"/>
      <c r="V205" s="4282" t="s">
        <v>178</v>
      </c>
      <c r="W205" s="4282"/>
      <c r="X205" s="4282"/>
      <c r="Y205" s="4282"/>
      <c r="Z205" s="4282"/>
      <c r="AA205" s="4282"/>
      <c r="AB205" s="4282"/>
      <c r="AC205" s="4282"/>
      <c r="AD205" s="4282"/>
      <c r="AE205" s="4282"/>
      <c r="AF205" s="4282"/>
      <c r="AG205" s="4282"/>
      <c r="AH205" s="4282"/>
      <c r="AI205" s="4283"/>
    </row>
    <row r="206" spans="1:63" s="1745" customFormat="1" ht="11.25" customHeight="1">
      <c r="D206" s="4279"/>
      <c r="E206" s="3972"/>
      <c r="F206" s="3972"/>
      <c r="G206" s="3953"/>
      <c r="H206" s="1492"/>
      <c r="I206" s="4280"/>
      <c r="J206" s="4281"/>
      <c r="K206" s="1487"/>
      <c r="L206" s="3953"/>
      <c r="M206" s="3953"/>
      <c r="N206" s="1492"/>
      <c r="O206" s="1493"/>
      <c r="P206" s="4282" t="s">
        <v>2140</v>
      </c>
      <c r="Q206" s="4282"/>
      <c r="R206" s="4282"/>
      <c r="S206" s="4282"/>
      <c r="T206" s="4282"/>
      <c r="U206" s="4282"/>
      <c r="V206" s="4282"/>
      <c r="W206" s="4282"/>
      <c r="X206" s="4282"/>
      <c r="Y206" s="4282"/>
      <c r="Z206" s="4282"/>
      <c r="AA206" s="4282"/>
      <c r="AB206" s="4282"/>
      <c r="AC206" s="4282"/>
      <c r="AD206" s="4282"/>
      <c r="AE206" s="4282"/>
      <c r="AF206" s="4282"/>
      <c r="AG206" s="4282"/>
      <c r="AH206" s="4282"/>
      <c r="AI206" s="4283"/>
    </row>
    <row r="207" spans="1:63" s="1478" customFormat="1" ht="11.25" customHeight="1">
      <c r="D207" s="4279"/>
      <c r="E207" s="3972"/>
      <c r="F207" s="3972"/>
      <c r="G207" s="3904"/>
      <c r="H207" s="1494"/>
      <c r="I207" s="1495"/>
      <c r="J207" s="4282" t="s">
        <v>287</v>
      </c>
      <c r="K207" s="4282"/>
      <c r="L207" s="4282"/>
      <c r="M207" s="4282"/>
      <c r="N207" s="4282"/>
      <c r="O207" s="4282"/>
      <c r="P207" s="4282"/>
      <c r="Q207" s="4282"/>
      <c r="R207" s="4282"/>
      <c r="S207" s="4282"/>
      <c r="T207" s="4282"/>
      <c r="U207" s="4282"/>
      <c r="V207" s="4282"/>
      <c r="W207" s="4282"/>
      <c r="X207" s="4282"/>
      <c r="Y207" s="4282"/>
      <c r="Z207" s="4282"/>
      <c r="AA207" s="4282"/>
      <c r="AB207" s="4282"/>
      <c r="AC207" s="4282"/>
      <c r="AD207" s="4282"/>
      <c r="AE207" s="4282"/>
      <c r="AF207" s="4282"/>
      <c r="AG207" s="4282"/>
      <c r="AH207" s="4282"/>
      <c r="AI207" s="4283"/>
      <c r="BK207" s="1498"/>
    </row>
    <row r="208" spans="1:63" ht="17.25" customHeight="1">
      <c r="G208" s="1734"/>
      <c r="I208" s="1734"/>
      <c r="J208" s="1734"/>
      <c r="N208" s="1730"/>
    </row>
    <row r="209" spans="4:63" s="1745" customFormat="1" ht="15" customHeight="1">
      <c r="D209" s="4279"/>
      <c r="E209" s="3972"/>
      <c r="F209" s="3972"/>
      <c r="G209" s="3977"/>
      <c r="H209" s="1523"/>
      <c r="I209" s="3980"/>
      <c r="J209" s="3917"/>
      <c r="K209" s="1681"/>
      <c r="L209" s="3909"/>
      <c r="M209" s="3909"/>
      <c r="N209" s="1508"/>
      <c r="O209" s="3909"/>
      <c r="P209" s="3917"/>
      <c r="Q209" s="1685"/>
      <c r="R209" s="3909"/>
      <c r="S209" s="3909"/>
      <c r="T209" s="1752"/>
      <c r="U209" s="3909"/>
      <c r="V209" s="3917"/>
      <c r="W209" s="1511"/>
      <c r="X209" s="3909"/>
      <c r="Y209" s="3909"/>
      <c r="Z209" s="1508"/>
      <c r="AA209" s="3909"/>
      <c r="AB209" s="3917"/>
      <c r="AC209" s="1512"/>
      <c r="AD209" s="3909"/>
      <c r="AE209" s="3909"/>
      <c r="AF209" s="1679"/>
      <c r="AG209" s="1679"/>
      <c r="AH209" s="1513"/>
      <c r="AI209" s="1220"/>
    </row>
    <row r="210" spans="4:63" s="1745" customFormat="1" ht="15" customHeight="1">
      <c r="D210" s="4279"/>
      <c r="E210" s="3972"/>
      <c r="F210" s="3972"/>
      <c r="G210" s="3977"/>
      <c r="H210" s="1524"/>
      <c r="I210" s="3981"/>
      <c r="J210" s="3918"/>
      <c r="K210" s="1534"/>
      <c r="L210" s="3910"/>
      <c r="M210" s="3910"/>
      <c r="N210" s="1514"/>
      <c r="O210" s="3910"/>
      <c r="P210" s="3918"/>
      <c r="Q210" s="1686"/>
      <c r="R210" s="3910"/>
      <c r="S210" s="3910"/>
      <c r="T210" s="1753"/>
      <c r="U210" s="3910"/>
      <c r="V210" s="3918"/>
      <c r="W210" s="1517"/>
      <c r="X210" s="3910"/>
      <c r="Y210" s="3910"/>
      <c r="Z210" s="1514"/>
      <c r="AA210" s="3910"/>
      <c r="AB210" s="3918"/>
      <c r="AC210" s="1518"/>
      <c r="AD210" s="3910"/>
      <c r="AE210" s="3910"/>
      <c r="AF210" s="1684"/>
      <c r="AG210" s="1684"/>
      <c r="AH210" s="3984"/>
      <c r="AI210" s="3985"/>
    </row>
    <row r="211" spans="4:63" s="1745" customFormat="1" ht="15" customHeight="1">
      <c r="D211" s="4279"/>
      <c r="E211" s="3972"/>
      <c r="F211" s="3972"/>
      <c r="G211" s="3977"/>
      <c r="H211" s="1524"/>
      <c r="I211" s="3981"/>
      <c r="J211" s="3918"/>
      <c r="K211" s="1534"/>
      <c r="L211" s="3910"/>
      <c r="M211" s="3910"/>
      <c r="N211" s="1514"/>
      <c r="O211" s="3910"/>
      <c r="P211" s="3918"/>
      <c r="Q211" s="1686"/>
      <c r="R211" s="3910"/>
      <c r="S211" s="3910"/>
      <c r="T211" s="1753"/>
      <c r="U211" s="3910"/>
      <c r="V211" s="3918"/>
      <c r="W211" s="1517"/>
      <c r="X211" s="3910"/>
      <c r="Y211" s="3910"/>
      <c r="Z211" s="1682"/>
      <c r="AA211" s="1684"/>
      <c r="AB211" s="3984"/>
      <c r="AC211" s="3984"/>
      <c r="AD211" s="3984"/>
      <c r="AE211" s="3984"/>
      <c r="AF211" s="3984"/>
      <c r="AG211" s="3984"/>
      <c r="AH211" s="3984"/>
      <c r="AI211" s="3985"/>
    </row>
    <row r="212" spans="4:63" s="1745" customFormat="1" ht="15" customHeight="1">
      <c r="D212" s="4279"/>
      <c r="E212" s="3972"/>
      <c r="F212" s="3972"/>
      <c r="G212" s="3977"/>
      <c r="H212" s="1524"/>
      <c r="I212" s="3981"/>
      <c r="J212" s="3918"/>
      <c r="K212" s="1534"/>
      <c r="L212" s="3910"/>
      <c r="M212" s="3910"/>
      <c r="N212" s="1514"/>
      <c r="O212" s="3910"/>
      <c r="P212" s="3918"/>
      <c r="Q212" s="1686"/>
      <c r="R212" s="3910"/>
      <c r="S212" s="3910"/>
      <c r="T212" s="1754"/>
      <c r="U212" s="1521"/>
      <c r="V212" s="3984"/>
      <c r="W212" s="3984"/>
      <c r="X212" s="3984"/>
      <c r="Y212" s="3984"/>
      <c r="Z212" s="3984"/>
      <c r="AA212" s="3984"/>
      <c r="AB212" s="3984"/>
      <c r="AC212" s="3984"/>
      <c r="AD212" s="3984"/>
      <c r="AE212" s="3984"/>
      <c r="AF212" s="3984"/>
      <c r="AG212" s="3984"/>
      <c r="AH212" s="3984"/>
      <c r="AI212" s="3985"/>
    </row>
    <row r="213" spans="4:63" s="1745" customFormat="1" ht="11.25" customHeight="1">
      <c r="D213" s="4279"/>
      <c r="E213" s="3972"/>
      <c r="F213" s="3972"/>
      <c r="G213" s="3977"/>
      <c r="H213" s="1525"/>
      <c r="I213" s="3981"/>
      <c r="J213" s="3918"/>
      <c r="K213" s="1534"/>
      <c r="L213" s="3910"/>
      <c r="M213" s="3910"/>
      <c r="N213" s="1684"/>
      <c r="O213" s="1684"/>
      <c r="P213" s="3984"/>
      <c r="Q213" s="3984"/>
      <c r="R213" s="3984"/>
      <c r="S213" s="3984"/>
      <c r="T213" s="3984"/>
      <c r="U213" s="3984"/>
      <c r="V213" s="3984"/>
      <c r="W213" s="3984"/>
      <c r="X213" s="3984"/>
      <c r="Y213" s="3984"/>
      <c r="Z213" s="3984"/>
      <c r="AA213" s="3984"/>
      <c r="AB213" s="3984"/>
      <c r="AC213" s="3984"/>
      <c r="AD213" s="3984"/>
      <c r="AE213" s="3984"/>
      <c r="AF213" s="3984"/>
      <c r="AG213" s="3984"/>
      <c r="AH213" s="3984"/>
      <c r="AI213" s="3985"/>
    </row>
    <row r="214" spans="4:63" s="1478" customFormat="1" ht="11.25" customHeight="1">
      <c r="D214" s="4279"/>
      <c r="E214" s="3972"/>
      <c r="F214" s="3972"/>
      <c r="G214" s="3986"/>
      <c r="H214" s="1522"/>
      <c r="I214" s="1526"/>
      <c r="J214" s="3982"/>
      <c r="K214" s="3982"/>
      <c r="L214" s="3982"/>
      <c r="M214" s="3982"/>
      <c r="N214" s="3982"/>
      <c r="O214" s="3982"/>
      <c r="P214" s="3982"/>
      <c r="Q214" s="3982"/>
      <c r="R214" s="3982"/>
      <c r="S214" s="3982"/>
      <c r="T214" s="3982"/>
      <c r="U214" s="3982"/>
      <c r="V214" s="3982"/>
      <c r="W214" s="3982"/>
      <c r="X214" s="3982"/>
      <c r="Y214" s="3982"/>
      <c r="Z214" s="3982"/>
      <c r="AA214" s="3982"/>
      <c r="AB214" s="3982"/>
      <c r="AC214" s="3982"/>
      <c r="AD214" s="3982"/>
      <c r="AE214" s="3982"/>
      <c r="AF214" s="3982"/>
      <c r="AG214" s="3982"/>
      <c r="AH214" s="3982"/>
      <c r="AI214" s="3983"/>
      <c r="BK214" s="1498"/>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0" hidden="1" customWidth="1"/>
    <col min="2" max="2" width="15" style="435" hidden="1" customWidth="1"/>
    <col min="3" max="3" width="3" style="389" customWidth="1"/>
    <col min="4" max="4" width="6" style="390" customWidth="1"/>
    <col min="5" max="5" width="52" style="389" customWidth="1"/>
    <col min="6" max="6" width="48" style="389" customWidth="1"/>
    <col min="7" max="7" width="121" style="389" customWidth="1"/>
    <col min="8" max="8" width="8" style="389" customWidth="1"/>
    <col min="9" max="9" width="64" style="389" customWidth="1"/>
    <col min="10" max="10" width="9.140625" style="389" hidden="1"/>
  </cols>
  <sheetData>
    <row r="1" spans="1:10" ht="11.25" hidden="1" customHeight="1">
      <c r="A1" s="1610" t="s">
        <v>507</v>
      </c>
      <c r="J1" s="389" t="s">
        <v>1</v>
      </c>
    </row>
    <row r="2" spans="1:10" ht="11.25" hidden="1" customHeight="1">
      <c r="J2" s="389">
        <v>0</v>
      </c>
    </row>
    <row r="3" spans="1:10" s="411" customFormat="1" ht="11.45" customHeight="1">
      <c r="A3" s="1610"/>
      <c r="B3" s="435"/>
      <c r="D3" s="412"/>
      <c r="J3" s="411">
        <v>11</v>
      </c>
    </row>
    <row r="4" spans="1:10" ht="27.4" customHeight="1">
      <c r="D4" s="394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945"/>
      <c r="F4" s="3946"/>
      <c r="I4" s="649"/>
      <c r="J4" s="389">
        <v>26</v>
      </c>
    </row>
    <row r="5" spans="1:10" ht="18" customHeight="1">
      <c r="D5" s="3987" t="str">
        <f>IF(org=0,"Не определено",org)</f>
        <v>ООО "Смоленскрегионтеплоэнерго"</v>
      </c>
      <c r="E5" s="3987"/>
      <c r="F5" s="3987"/>
      <c r="I5" s="649"/>
      <c r="J5" s="389">
        <v>17</v>
      </c>
    </row>
    <row r="6" spans="1:10" s="411" customFormat="1" ht="11.45" customHeight="1">
      <c r="A6" s="1610"/>
      <c r="B6" s="435"/>
      <c r="D6" s="648"/>
      <c r="E6" s="648"/>
      <c r="F6" s="686"/>
      <c r="G6" s="648"/>
      <c r="J6" s="411">
        <v>11</v>
      </c>
    </row>
    <row r="7" spans="1:10" ht="11.25" hidden="1" customHeight="1">
      <c r="A7" s="391"/>
      <c r="B7" s="436"/>
      <c r="C7" s="391"/>
      <c r="D7" s="397"/>
      <c r="E7" s="3993"/>
      <c r="F7" s="3993"/>
      <c r="J7" s="389">
        <v>0</v>
      </c>
    </row>
    <row r="8" spans="1:10" ht="11.45" customHeight="1">
      <c r="A8" s="391"/>
      <c r="B8" s="436"/>
      <c r="C8" s="391"/>
      <c r="D8" s="3990" t="s">
        <v>508</v>
      </c>
      <c r="E8" s="3991"/>
      <c r="F8" s="3991"/>
      <c r="G8" s="3994" t="s">
        <v>509</v>
      </c>
      <c r="J8" s="389">
        <v>11</v>
      </c>
    </row>
    <row r="9" spans="1:10" ht="11.45" customHeight="1">
      <c r="A9" s="391"/>
      <c r="B9" s="436"/>
      <c r="C9" s="391"/>
      <c r="D9" s="406" t="s">
        <v>75</v>
      </c>
      <c r="E9" s="380" t="s">
        <v>510</v>
      </c>
      <c r="F9" s="380" t="s">
        <v>511</v>
      </c>
      <c r="G9" s="3995"/>
      <c r="J9" s="389">
        <v>11</v>
      </c>
    </row>
    <row r="10" spans="1:10" ht="12" hidden="1" customHeight="1">
      <c r="A10" s="391"/>
      <c r="B10" s="436"/>
      <c r="C10" s="391"/>
      <c r="D10" s="398"/>
      <c r="E10" s="398"/>
      <c r="F10" s="398"/>
      <c r="G10" s="398"/>
      <c r="J10" s="389">
        <v>0</v>
      </c>
    </row>
    <row r="11" spans="1:10" ht="22.5" hidden="1" customHeight="1">
      <c r="A11" s="391"/>
      <c r="B11" s="436"/>
      <c r="C11" s="391"/>
      <c r="D11" s="936" t="s">
        <v>184</v>
      </c>
      <c r="E11" s="939" t="s">
        <v>512</v>
      </c>
      <c r="F11" s="938" t="str">
        <f>IF(region_name="","",region_name)</f>
        <v>Смоленская область</v>
      </c>
      <c r="G11" s="939" t="s">
        <v>513</v>
      </c>
      <c r="H11" s="409"/>
      <c r="J11" s="389">
        <v>0</v>
      </c>
    </row>
    <row r="12" spans="1:10" ht="22.5" hidden="1" customHeight="1">
      <c r="A12" s="391"/>
      <c r="B12" s="436"/>
      <c r="C12" s="391"/>
      <c r="D12" s="379" t="s">
        <v>184</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514</v>
      </c>
      <c r="G12" s="408"/>
      <c r="H12" s="409"/>
      <c r="J12" s="389">
        <v>0</v>
      </c>
    </row>
    <row r="13" spans="1:10" ht="23.25" customHeight="1">
      <c r="A13" s="391"/>
      <c r="B13" s="436"/>
      <c r="C13" s="391"/>
      <c r="D13" s="379" t="s">
        <v>184</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6" t="s">
        <v>515</v>
      </c>
      <c r="E14" s="937" t="s">
        <v>516</v>
      </c>
      <c r="F14" s="938" t="str">
        <f>IF(inn="","",inn)</f>
        <v>6730048214</v>
      </c>
      <c r="G14" s="939" t="s">
        <v>517</v>
      </c>
      <c r="H14" s="409"/>
      <c r="J14" s="389">
        <v>0</v>
      </c>
    </row>
    <row r="15" spans="1:10" ht="22.5" hidden="1" customHeight="1">
      <c r="A15" s="391"/>
      <c r="B15" s="436"/>
      <c r="C15" s="391"/>
      <c r="D15" s="936" t="s">
        <v>518</v>
      </c>
      <c r="E15" s="937" t="s">
        <v>519</v>
      </c>
      <c r="F15" s="938" t="str">
        <f>IF(kpp="","",kpp)</f>
        <v>673101001</v>
      </c>
      <c r="G15" s="939" t="s">
        <v>520</v>
      </c>
      <c r="H15" s="409"/>
      <c r="J15" s="389">
        <v>0</v>
      </c>
    </row>
    <row r="16" spans="1:10" ht="39" customHeight="1">
      <c r="A16" s="391"/>
      <c r="B16" s="436"/>
      <c r="C16" s="391"/>
      <c r="D16" s="379" t="s">
        <v>89</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77</v>
      </c>
      <c r="E17" s="376" t="str">
        <f>"Дата присвоения ОГРН"&amp;IF(TEMPLATE_SPHERE="TKO",""," (ОГРНИП)")</f>
        <v>Дата присвоения ОГРН (ОГРНИП)</v>
      </c>
      <c r="F17" s="1628" t="s">
        <v>15</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78</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3988" t="s">
        <v>521</v>
      </c>
      <c r="B19" s="436"/>
      <c r="C19" s="3999"/>
      <c r="D19" s="379" t="str">
        <f>A19</f>
        <v>5.1</v>
      </c>
      <c r="E19" s="376" t="s">
        <v>522</v>
      </c>
      <c r="F19" s="377" t="s">
        <v>514</v>
      </c>
      <c r="G19" s="378" t="s">
        <v>523</v>
      </c>
      <c r="H19" s="409"/>
      <c r="I19" s="780"/>
      <c r="J19" s="389">
        <v>0</v>
      </c>
    </row>
    <row r="20" spans="1:10" ht="24" hidden="1" customHeight="1">
      <c r="A20" s="3988"/>
      <c r="B20" s="436"/>
      <c r="C20" s="3999"/>
      <c r="D20" s="374" t="str">
        <f>D19&amp;".1"</f>
        <v>5.1.1</v>
      </c>
      <c r="E20" s="373" t="s">
        <v>524</v>
      </c>
      <c r="F20" s="808" t="s">
        <v>15</v>
      </c>
      <c r="G20" s="408"/>
      <c r="H20" s="409"/>
      <c r="I20" s="780"/>
      <c r="J20" s="389">
        <v>0</v>
      </c>
    </row>
    <row r="21" spans="1:10" ht="22.5" hidden="1" customHeight="1">
      <c r="A21" s="3988"/>
      <c r="B21" s="436"/>
      <c r="C21" s="3999"/>
      <c r="D21" s="374" t="str">
        <f>D19&amp;".2"</f>
        <v>5.1.2</v>
      </c>
      <c r="E21" s="373" t="s">
        <v>525</v>
      </c>
      <c r="F21" s="1629" t="s">
        <v>15</v>
      </c>
      <c r="G21" s="378" t="s">
        <v>526</v>
      </c>
      <c r="H21" s="409"/>
      <c r="I21" s="780"/>
      <c r="J21" s="389">
        <v>0</v>
      </c>
    </row>
    <row r="22" spans="1:10" ht="22.5" hidden="1" customHeight="1">
      <c r="A22" s="3988"/>
      <c r="B22" s="436"/>
      <c r="C22" s="3999"/>
      <c r="D22" s="374" t="str">
        <f>D19&amp;".3"</f>
        <v>5.1.3</v>
      </c>
      <c r="E22" s="373" t="s">
        <v>527</v>
      </c>
      <c r="F22" s="808" t="s">
        <v>15</v>
      </c>
      <c r="G22" s="408"/>
      <c r="H22" s="409"/>
      <c r="I22" s="780"/>
      <c r="J22" s="389">
        <v>0</v>
      </c>
    </row>
    <row r="23" spans="1:10" ht="22.5" hidden="1" customHeight="1">
      <c r="A23" s="3988"/>
      <c r="B23" s="436"/>
      <c r="C23" s="3999"/>
      <c r="D23" s="374" t="str">
        <f>D19&amp;".4"</f>
        <v>5.1.4</v>
      </c>
      <c r="E23" s="373" t="s">
        <v>528</v>
      </c>
      <c r="F23" s="808" t="s">
        <v>15</v>
      </c>
      <c r="G23" s="378" t="s">
        <v>529</v>
      </c>
      <c r="H23" s="409"/>
      <c r="I23" s="780"/>
      <c r="J23" s="389">
        <v>0</v>
      </c>
    </row>
    <row r="24" spans="1:10" ht="22.5" hidden="1" customHeight="1">
      <c r="A24" s="1870"/>
      <c r="B24" s="436"/>
      <c r="C24" s="426"/>
      <c r="D24" s="401"/>
      <c r="E24" s="1092" t="s">
        <v>530</v>
      </c>
      <c r="F24" s="402"/>
      <c r="G24" s="403"/>
      <c r="H24" s="409"/>
      <c r="I24" s="780"/>
      <c r="J24" s="389">
        <v>0</v>
      </c>
    </row>
    <row r="25" spans="1:10" s="435" customFormat="1" ht="24.75" hidden="1" customHeight="1">
      <c r="A25" s="391"/>
      <c r="B25" s="436"/>
      <c r="C25" s="436"/>
      <c r="D25" s="933" t="s">
        <v>77</v>
      </c>
      <c r="E25" s="935" t="s">
        <v>531</v>
      </c>
      <c r="F25" s="940" t="s">
        <v>514</v>
      </c>
      <c r="G25" s="935"/>
      <c r="J25" s="435">
        <v>0</v>
      </c>
    </row>
    <row r="26" spans="1:10" s="435" customFormat="1" ht="11.25" hidden="1" customHeight="1">
      <c r="A26" s="391"/>
      <c r="B26" s="436"/>
      <c r="C26" s="436"/>
      <c r="D26" s="933" t="s">
        <v>532</v>
      </c>
      <c r="E26" s="934" t="s">
        <v>533</v>
      </c>
      <c r="F26" s="940" t="s">
        <v>514</v>
      </c>
      <c r="G26" s="935"/>
      <c r="J26" s="435">
        <v>0</v>
      </c>
    </row>
    <row r="27" spans="1:10" s="435" customFormat="1" ht="11.25" hidden="1" customHeight="1">
      <c r="A27" s="391"/>
      <c r="B27" s="436"/>
      <c r="C27" s="436"/>
      <c r="D27" s="933" t="s">
        <v>534</v>
      </c>
      <c r="E27" s="941" t="s">
        <v>535</v>
      </c>
      <c r="F27" s="942"/>
      <c r="G27" s="93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435" customFormat="1" ht="11.25" hidden="1" customHeight="1">
      <c r="A28" s="391"/>
      <c r="B28" s="436"/>
      <c r="C28" s="436"/>
      <c r="D28" s="933" t="s">
        <v>536</v>
      </c>
      <c r="E28" s="941" t="s">
        <v>537</v>
      </c>
      <c r="F28" s="942"/>
      <c r="G28" s="93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435" customFormat="1" ht="11.25" hidden="1" customHeight="1">
      <c r="A29" s="391"/>
      <c r="B29" s="436"/>
      <c r="C29" s="436"/>
      <c r="D29" s="933" t="s">
        <v>538</v>
      </c>
      <c r="E29" s="941" t="s">
        <v>539</v>
      </c>
      <c r="F29" s="942"/>
      <c r="G29" s="93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435" customFormat="1" ht="11.25" hidden="1" customHeight="1">
      <c r="A30" s="391"/>
      <c r="B30" s="436"/>
      <c r="C30" s="436"/>
      <c r="D30" s="933" t="s">
        <v>540</v>
      </c>
      <c r="E30" s="934" t="s">
        <v>541</v>
      </c>
      <c r="F30" s="942"/>
      <c r="G30" s="935"/>
      <c r="J30" s="435">
        <v>0</v>
      </c>
    </row>
    <row r="31" spans="1:10" s="435" customFormat="1" ht="11.25" hidden="1" customHeight="1">
      <c r="A31" s="391"/>
      <c r="B31" s="436"/>
      <c r="C31" s="436"/>
      <c r="D31" s="933" t="s">
        <v>542</v>
      </c>
      <c r="E31" s="934" t="s">
        <v>543</v>
      </c>
      <c r="F31" s="942"/>
      <c r="G31" s="935"/>
      <c r="J31" s="435">
        <v>0</v>
      </c>
    </row>
    <row r="32" spans="1:10" s="435" customFormat="1" ht="11.25" hidden="1" customHeight="1">
      <c r="A32" s="391"/>
      <c r="B32" s="436"/>
      <c r="C32" s="436"/>
      <c r="D32" s="933" t="s">
        <v>544</v>
      </c>
      <c r="E32" s="934" t="s">
        <v>545</v>
      </c>
      <c r="F32" s="943"/>
      <c r="G32" s="935"/>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514</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546</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546</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514</v>
      </c>
      <c r="G39" s="399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9"/>
      <c r="F40" s="808"/>
      <c r="G40" s="3997"/>
      <c r="H40" s="409"/>
      <c r="J40" s="389">
        <v>0</v>
      </c>
    </row>
    <row r="41" spans="1:10" ht="23.25" customHeight="1">
      <c r="A41" s="391"/>
      <c r="B41" s="391"/>
      <c r="C41" s="1612"/>
      <c r="D41" s="374" t="str">
        <f>D39&amp;".1"</f>
        <v>9.1</v>
      </c>
      <c r="E41" s="788"/>
      <c r="F41" s="789"/>
      <c r="G41" s="3997"/>
      <c r="H41" s="409"/>
      <c r="J41" s="389">
        <v>22</v>
      </c>
    </row>
    <row r="42" spans="1:10" ht="15.75" customHeight="1">
      <c r="A42" s="391"/>
      <c r="B42" s="436"/>
      <c r="C42" s="391"/>
      <c r="D42" s="401"/>
      <c r="E42" s="349" t="s">
        <v>547</v>
      </c>
      <c r="F42" s="403"/>
      <c r="G42" s="3998"/>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0"/>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548</v>
      </c>
      <c r="H44" s="409"/>
      <c r="J44" s="389">
        <v>22</v>
      </c>
    </row>
    <row r="45" spans="1:10" ht="23.25" customHeight="1">
      <c r="A45" s="391"/>
      <c r="B45" s="436"/>
      <c r="C45" s="391"/>
      <c r="D45" s="374">
        <f>D44+1</f>
        <v>12</v>
      </c>
      <c r="E45" s="372" t="s">
        <v>549</v>
      </c>
      <c r="F45" s="377" t="s">
        <v>514</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8"/>
      <c r="G46" s="371" t="s">
        <v>550</v>
      </c>
      <c r="H46" s="409"/>
      <c r="J46" s="389">
        <v>23</v>
      </c>
    </row>
    <row r="47" spans="1:10" ht="24" customHeight="1">
      <c r="A47" s="3988"/>
      <c r="B47" s="436"/>
      <c r="C47" s="426"/>
      <c r="D47" s="374" t="str">
        <f>D45&amp;".2"</f>
        <v>12.2</v>
      </c>
      <c r="E47" s="376" t="s">
        <v>551</v>
      </c>
      <c r="F47" s="424"/>
      <c r="G47" s="371" t="s">
        <v>552</v>
      </c>
      <c r="H47" s="409"/>
      <c r="J47" s="389">
        <v>23</v>
      </c>
    </row>
    <row r="48" spans="1:10" ht="24" customHeight="1">
      <c r="A48" s="3988"/>
      <c r="B48" s="436"/>
      <c r="C48" s="426"/>
      <c r="D48" s="374" t="str">
        <f>D45&amp;".3"</f>
        <v>12.3</v>
      </c>
      <c r="E48" s="376" t="s">
        <v>553</v>
      </c>
      <c r="F48" s="424"/>
      <c r="G48" s="371" t="s">
        <v>554</v>
      </c>
      <c r="H48" s="409"/>
      <c r="J48" s="389">
        <v>23</v>
      </c>
    </row>
    <row r="49" spans="1:10" ht="24" customHeight="1">
      <c r="A49" s="3988"/>
      <c r="B49" s="436"/>
      <c r="C49" s="426"/>
      <c r="D49" s="374" t="str">
        <f>IF(TEMPLATE_SPHERE="TKO",D45&amp;".0",D45&amp;".4")</f>
        <v>12.4</v>
      </c>
      <c r="E49" s="370" t="s">
        <v>555</v>
      </c>
      <c r="F49" s="1609"/>
      <c r="G49" s="1658" t="s">
        <v>556</v>
      </c>
      <c r="H49" s="409"/>
      <c r="J49" s="389">
        <v>23</v>
      </c>
    </row>
    <row r="50" spans="1:10" ht="24" customHeight="1">
      <c r="A50" s="391"/>
      <c r="B50" s="436"/>
      <c r="C50" s="391"/>
      <c r="D50" s="401"/>
      <c r="E50" s="349" t="s">
        <v>557</v>
      </c>
      <c r="F50" s="402"/>
      <c r="G50" s="1658" t="s">
        <v>558</v>
      </c>
      <c r="H50" s="410"/>
      <c r="J50" s="389">
        <v>23</v>
      </c>
    </row>
    <row r="51" spans="1:10" ht="24" customHeight="1">
      <c r="A51" s="786"/>
      <c r="B51" s="436"/>
      <c r="C51" s="426"/>
      <c r="D51" s="374">
        <f>D45+1</f>
        <v>13</v>
      </c>
      <c r="E51" s="462" t="s">
        <v>559</v>
      </c>
      <c r="F51" s="424"/>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394" customFormat="1" ht="31.5" customHeight="1">
      <c r="A53" s="1611"/>
      <c r="B53" s="437"/>
      <c r="C53" s="3989"/>
      <c r="D53" s="399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992"/>
      <c r="F53" s="3992"/>
      <c r="G53" s="3992"/>
      <c r="H53" s="388"/>
      <c r="I53" s="388"/>
      <c r="J53" s="394">
        <v>30</v>
      </c>
    </row>
    <row r="54" spans="1:10" s="394" customFormat="1" ht="42" customHeight="1">
      <c r="A54" s="391"/>
      <c r="B54" s="436"/>
      <c r="C54" s="3989"/>
      <c r="D54" s="399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992"/>
      <c r="F54" s="3992"/>
      <c r="G54" s="3992"/>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10" t="s">
        <v>69</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8"/>
    <col min="2" max="2" width="43.140625" style="768" hidden="1"/>
    <col min="3" max="3" width="43.140625" style="768"/>
    <col min="4" max="5" width="36.42578125" style="768" customWidth="1"/>
    <col min="6" max="8" width="36.42578125" style="908" customWidth="1"/>
  </cols>
  <sheetData>
    <row r="1" spans="1:8" ht="9" customHeight="1">
      <c r="A1" s="774" t="s">
        <v>2141</v>
      </c>
      <c r="B1" s="774"/>
      <c r="C1" s="909" t="s">
        <v>2142</v>
      </c>
      <c r="D1" s="907" t="s">
        <v>1016</v>
      </c>
      <c r="E1" s="907" t="s">
        <v>1062</v>
      </c>
      <c r="F1" s="907" t="s">
        <v>1115</v>
      </c>
      <c r="G1" s="907" t="s">
        <v>1102</v>
      </c>
      <c r="H1" s="907" t="s">
        <v>1819</v>
      </c>
    </row>
    <row r="2" spans="1:8" ht="9" customHeight="1">
      <c r="A2" s="910" t="s">
        <v>2143</v>
      </c>
      <c r="B2" s="910"/>
      <c r="C2" s="911" t="str">
        <f>INDEX(TEMPLATE_NUMBER_FORM_LIST,MATCH(TEMPLATE_SPHERE,TEMPLATE_SPHERE_LIST,0))</f>
        <v>16</v>
      </c>
      <c r="D2" s="910" t="s">
        <v>159</v>
      </c>
      <c r="E2" s="910" t="s">
        <v>141</v>
      </c>
      <c r="F2" s="912" t="s">
        <v>141</v>
      </c>
      <c r="G2" s="910" t="s">
        <v>141</v>
      </c>
      <c r="H2" s="913"/>
    </row>
    <row r="3" spans="1:8" ht="63" customHeight="1">
      <c r="A3" s="774"/>
      <c r="B3" s="774" t="s">
        <v>184</v>
      </c>
      <c r="C3" s="91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1" t="s">
        <v>2144</v>
      </c>
      <c r="E3" s="91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2"/>
      <c r="G3" s="913"/>
      <c r="H3" s="774"/>
    </row>
    <row r="4" spans="1:8" ht="243" customHeight="1">
      <c r="A4" s="774" t="s">
        <v>2145</v>
      </c>
      <c r="B4" s="774" t="s">
        <v>89</v>
      </c>
      <c r="C4" s="91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0" t="s">
        <v>2146</v>
      </c>
      <c r="E4" s="91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0"/>
      <c r="G4" s="910"/>
      <c r="H4" s="774" t="s">
        <v>2147</v>
      </c>
    </row>
    <row r="5" spans="1:8" ht="117" customHeight="1">
      <c r="A5" s="774" t="s">
        <v>2148</v>
      </c>
      <c r="B5" s="774" t="s">
        <v>77</v>
      </c>
      <c r="C5" s="91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4" t="s">
        <v>2149</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3"/>
      <c r="G5" s="913"/>
      <c r="H5" s="774" t="s">
        <v>2150</v>
      </c>
    </row>
    <row r="6" spans="1:8" ht="90" customHeight="1">
      <c r="A6" s="774" t="s">
        <v>2151</v>
      </c>
      <c r="B6" s="774" t="s">
        <v>78</v>
      </c>
      <c r="C6" s="91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4"/>
      <c r="G6" s="774"/>
      <c r="H6" s="913"/>
    </row>
    <row r="7" spans="1:8" ht="45" customHeight="1">
      <c r="A7" s="774" t="s">
        <v>2152</v>
      </c>
      <c r="B7" s="774" t="s">
        <v>115</v>
      </c>
      <c r="C7" s="911" t="str">
        <f>IF(TEMPLATE_SPHERE="HEAT",D7,E7)</f>
        <v>Форма 11. Информация о расходах на капитальный и текущий ремонт основных средств</v>
      </c>
      <c r="D7" s="774" t="s">
        <v>2153</v>
      </c>
      <c r="E7" s="774" t="s">
        <v>2154</v>
      </c>
      <c r="F7" s="913"/>
      <c r="G7" s="913"/>
      <c r="H7" s="913"/>
    </row>
    <row r="8" spans="1:8" ht="108" customHeight="1">
      <c r="A8" s="774" t="s">
        <v>2155</v>
      </c>
      <c r="B8" s="774" t="s">
        <v>79</v>
      </c>
      <c r="C8" s="91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4" t="s">
        <v>1372</v>
      </c>
      <c r="E8" s="774" t="s">
        <v>2156</v>
      </c>
      <c r="F8" s="913"/>
      <c r="G8" s="913"/>
      <c r="H8" s="913"/>
    </row>
    <row r="9" spans="1:8" ht="99" customHeight="1">
      <c r="A9" s="774" t="s">
        <v>2157</v>
      </c>
      <c r="B9" s="774"/>
      <c r="C9" s="774" t="s">
        <v>2158</v>
      </c>
      <c r="D9" s="774"/>
      <c r="E9" s="774"/>
      <c r="F9" s="913"/>
      <c r="G9" s="913"/>
      <c r="H9" s="913"/>
    </row>
    <row r="10" spans="1:8" ht="126" customHeight="1">
      <c r="A10" s="774" t="s">
        <v>2159</v>
      </c>
      <c r="B10" s="774"/>
      <c r="C10" s="774" t="s">
        <v>2160</v>
      </c>
      <c r="D10" s="774"/>
      <c r="E10" s="774"/>
      <c r="F10" s="913"/>
      <c r="G10" s="913"/>
      <c r="H10" s="913"/>
    </row>
    <row r="11" spans="1:8" ht="108" customHeight="1">
      <c r="A11" s="774" t="s">
        <v>2161</v>
      </c>
      <c r="B11" s="774"/>
      <c r="C11" s="774" t="s">
        <v>2162</v>
      </c>
      <c r="D11" s="774"/>
      <c r="E11" s="774"/>
      <c r="F11" s="913"/>
      <c r="G11" s="913"/>
      <c r="H11" s="913"/>
    </row>
    <row r="12" spans="1:8" ht="54" customHeight="1">
      <c r="A12" s="774" t="s">
        <v>2163</v>
      </c>
      <c r="B12" s="774"/>
      <c r="C12" s="774" t="s">
        <v>2164</v>
      </c>
      <c r="D12" s="774"/>
      <c r="E12" s="774"/>
      <c r="F12" s="913"/>
      <c r="G12" s="913"/>
      <c r="H12" s="913"/>
    </row>
    <row r="13" spans="1:8" ht="45" customHeight="1">
      <c r="A13" s="774" t="s">
        <v>2165</v>
      </c>
      <c r="B13" s="774"/>
      <c r="C13" s="774" t="s">
        <v>2166</v>
      </c>
      <c r="D13" s="774"/>
      <c r="E13" s="774"/>
      <c r="F13" s="913"/>
      <c r="G13" s="913"/>
      <c r="H13" s="913"/>
    </row>
    <row r="14" spans="1:8" ht="117" customHeight="1">
      <c r="A14" s="774" t="s">
        <v>2167</v>
      </c>
      <c r="B14" s="774"/>
      <c r="C14" s="774" t="s">
        <v>2168</v>
      </c>
      <c r="D14" s="774"/>
      <c r="E14" s="774"/>
      <c r="F14" s="913"/>
      <c r="G14" s="913"/>
      <c r="H14" s="913"/>
    </row>
    <row r="15" spans="1:8" ht="117" customHeight="1">
      <c r="A15" s="774" t="s">
        <v>2169</v>
      </c>
      <c r="B15" s="774"/>
      <c r="C15" s="774" t="s">
        <v>2170</v>
      </c>
      <c r="D15" s="774"/>
      <c r="E15" s="774"/>
      <c r="F15" s="913"/>
      <c r="G15" s="913"/>
      <c r="H15" s="913"/>
    </row>
    <row r="16" spans="1:8" ht="63" customHeight="1">
      <c r="A16" s="774" t="s">
        <v>2171</v>
      </c>
      <c r="B16" s="774"/>
      <c r="C16" s="774" t="s">
        <v>2172</v>
      </c>
      <c r="D16" s="774"/>
      <c r="E16" s="774"/>
      <c r="F16" s="913"/>
      <c r="G16" s="913"/>
      <c r="H16" s="913"/>
    </row>
    <row r="17" spans="1:8" ht="54" customHeight="1">
      <c r="A17" s="774" t="s">
        <v>2173</v>
      </c>
      <c r="B17" s="774"/>
      <c r="C17" s="911" t="s">
        <v>2174</v>
      </c>
      <c r="D17" s="774"/>
      <c r="E17" s="774"/>
      <c r="F17" s="913"/>
      <c r="G17" s="913"/>
      <c r="H17" s="913"/>
    </row>
    <row r="18" spans="1:8" ht="27" customHeight="1">
      <c r="A18" s="774" t="s">
        <v>2175</v>
      </c>
      <c r="B18" s="774"/>
      <c r="C18" s="911" t="s">
        <v>2176</v>
      </c>
      <c r="D18" s="774"/>
      <c r="E18" s="774"/>
      <c r="F18" s="913"/>
      <c r="G18" s="913"/>
      <c r="H18" s="913"/>
    </row>
    <row r="19" spans="1:8" ht="54" customHeight="1">
      <c r="A19" s="774" t="s">
        <v>2177</v>
      </c>
      <c r="B19" s="774"/>
      <c r="C19" s="911" t="s">
        <v>2178</v>
      </c>
      <c r="D19" s="774"/>
      <c r="E19" s="774"/>
      <c r="F19" s="913"/>
      <c r="G19" s="913"/>
      <c r="H19" s="913"/>
    </row>
    <row r="20" spans="1:8" ht="36" customHeight="1">
      <c r="A20" s="774" t="s">
        <v>2179</v>
      </c>
      <c r="B20" s="774"/>
      <c r="C20" s="911" t="s">
        <v>2180</v>
      </c>
      <c r="D20" s="774"/>
      <c r="E20" s="774"/>
      <c r="F20" s="913"/>
      <c r="G20" s="913"/>
      <c r="H20" s="913"/>
    </row>
    <row r="21" spans="1:8" ht="36" customHeight="1">
      <c r="A21" s="774" t="s">
        <v>2181</v>
      </c>
      <c r="B21" s="774"/>
      <c r="C21" s="911" t="s">
        <v>2182</v>
      </c>
      <c r="D21" s="774"/>
      <c r="E21" s="774"/>
      <c r="F21" s="913"/>
      <c r="G21" s="913"/>
      <c r="H21" s="913"/>
    </row>
    <row r="22" spans="1:8" ht="27" customHeight="1">
      <c r="A22" s="774" t="s">
        <v>2183</v>
      </c>
      <c r="B22" s="774"/>
      <c r="C22" s="911" t="s">
        <v>2184</v>
      </c>
      <c r="D22" s="774"/>
      <c r="E22" s="774"/>
      <c r="F22" s="913"/>
      <c r="G22" s="913"/>
      <c r="H22" s="913"/>
    </row>
    <row r="23" spans="1:8" ht="36" customHeight="1">
      <c r="A23" s="774" t="s">
        <v>2185</v>
      </c>
      <c r="B23" s="774"/>
      <c r="C23" s="911" t="s">
        <v>2186</v>
      </c>
      <c r="D23" s="774"/>
      <c r="E23" s="774"/>
      <c r="F23" s="913"/>
      <c r="G23" s="913"/>
      <c r="H23" s="913"/>
    </row>
    <row r="24" spans="1:8" ht="28.5" customHeight="1">
      <c r="A24" s="774" t="s">
        <v>2187</v>
      </c>
      <c r="B24" s="774"/>
      <c r="C24" s="911" t="s">
        <v>2188</v>
      </c>
      <c r="D24" s="774"/>
      <c r="E24" s="774"/>
      <c r="F24" s="913"/>
      <c r="G24" s="913"/>
      <c r="H24" s="913"/>
    </row>
    <row r="25" spans="1:8" ht="36" customHeight="1">
      <c r="A25" s="774" t="s">
        <v>2189</v>
      </c>
      <c r="B25" s="774"/>
      <c r="C25" s="911" t="s">
        <v>2190</v>
      </c>
      <c r="D25" s="774"/>
      <c r="E25" s="774"/>
      <c r="F25" s="913"/>
      <c r="G25" s="913"/>
      <c r="H25" s="913"/>
    </row>
    <row r="26" spans="1:8" ht="27" customHeight="1">
      <c r="A26" s="774" t="s">
        <v>2191</v>
      </c>
      <c r="B26" s="774"/>
      <c r="C26" s="911" t="s">
        <v>2192</v>
      </c>
      <c r="D26" s="774"/>
      <c r="E26" s="774"/>
      <c r="F26" s="913"/>
      <c r="G26" s="913"/>
      <c r="H26" s="913"/>
    </row>
    <row r="27" spans="1:8" ht="36" customHeight="1">
      <c r="A27" s="774" t="s">
        <v>2193</v>
      </c>
      <c r="B27" s="774"/>
      <c r="C27" s="911" t="s">
        <v>2194</v>
      </c>
      <c r="D27" s="774"/>
      <c r="E27" s="774"/>
      <c r="F27" s="913"/>
      <c r="G27" s="913"/>
      <c r="H27" s="913"/>
    </row>
    <row r="28" spans="1:8" ht="28.5" customHeight="1">
      <c r="A28" s="774" t="s">
        <v>2195</v>
      </c>
      <c r="B28" s="774"/>
      <c r="C28" s="911" t="s">
        <v>2196</v>
      </c>
      <c r="D28" s="774"/>
      <c r="E28" s="774"/>
      <c r="F28" s="913"/>
      <c r="G28" s="913"/>
      <c r="H28" s="913"/>
    </row>
    <row r="29" spans="1:8" ht="126" customHeight="1">
      <c r="A29" s="774" t="s">
        <v>2197</v>
      </c>
      <c r="B29" s="774" t="s">
        <v>1771</v>
      </c>
      <c r="C29" s="91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4" t="s">
        <v>2198</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3"/>
      <c r="G29" s="913"/>
      <c r="H29" s="774" t="s">
        <v>2199</v>
      </c>
    </row>
    <row r="30" spans="1:8" ht="36" customHeight="1">
      <c r="A30" s="774" t="s">
        <v>2200</v>
      </c>
      <c r="B30" s="774"/>
      <c r="C30" s="91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4" t="s">
        <v>2201</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3"/>
      <c r="G30" s="913"/>
      <c r="H30" s="913"/>
    </row>
    <row r="31" spans="1:8" ht="54" customHeight="1">
      <c r="A31" s="774" t="s">
        <v>2202</v>
      </c>
      <c r="B31" s="774"/>
      <c r="C31" s="91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4" t="s">
        <v>2203</v>
      </c>
      <c r="E31" s="77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3"/>
      <c r="G31" s="913"/>
      <c r="H31" s="913"/>
    </row>
    <row r="32" spans="1:8" ht="198" customHeight="1">
      <c r="A32" s="774" t="s">
        <v>2204</v>
      </c>
      <c r="B32" s="774"/>
      <c r="C32" s="91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4" t="s">
        <v>2205</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3"/>
      <c r="G32" s="913"/>
      <c r="H32" s="774" t="s">
        <v>2206</v>
      </c>
    </row>
    <row r="33" spans="1:8" ht="9" customHeight="1">
      <c r="A33" s="774"/>
      <c r="B33" s="774"/>
      <c r="C33" s="911"/>
      <c r="D33" s="774"/>
      <c r="E33" s="774"/>
      <c r="F33" s="913"/>
      <c r="G33" s="913"/>
      <c r="H33" s="913"/>
    </row>
    <row r="34" spans="1:8" ht="9" customHeight="1">
      <c r="A34" s="774"/>
      <c r="B34" s="774" t="s">
        <v>164</v>
      </c>
      <c r="C34" s="911">
        <f>INDEX(TEMPLATE_NAME_FORM_LIST,B34,MATCH(TEMPLATE_SPHERE,TEMPLATE_SPHERE_LIST,0))</f>
        <v>0</v>
      </c>
      <c r="D34" s="774"/>
      <c r="E34" s="774"/>
      <c r="F34" s="913"/>
      <c r="G34" s="913"/>
      <c r="H34" s="913"/>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8"/>
    <col min="3" max="7" width="8" style="770" customWidth="1"/>
    <col min="8" max="12" width="8.5703125" style="770" customWidth="1"/>
    <col min="13" max="14" width="27.7109375" style="770" customWidth="1"/>
    <col min="15" max="19" width="5.140625" style="770" customWidth="1"/>
    <col min="20" max="24" width="27.7109375" style="770" customWidth="1"/>
    <col min="25" max="25" width="1.85546875" style="928" customWidth="1"/>
    <col min="26" max="26" width="27.7109375" style="768" customWidth="1"/>
    <col min="27" max="27" width="27.7109375" style="779" customWidth="1"/>
    <col min="28" max="29" width="27.7109375" style="768" customWidth="1"/>
    <col min="30" max="30" width="3.85546875" style="768" customWidth="1"/>
    <col min="31" max="34" width="9.140625" style="768"/>
  </cols>
  <sheetData>
    <row r="1" spans="1:34" s="767" customFormat="1" ht="18" customHeight="1">
      <c r="A1" s="825"/>
      <c r="B1" s="825"/>
      <c r="C1" s="825" t="s">
        <v>2207</v>
      </c>
      <c r="D1" s="825"/>
      <c r="E1" s="825"/>
      <c r="F1" s="825"/>
      <c r="G1" s="825"/>
      <c r="H1" s="825" t="s">
        <v>2208</v>
      </c>
      <c r="I1" s="825"/>
      <c r="J1" s="825"/>
      <c r="K1" s="825"/>
      <c r="L1" s="825"/>
      <c r="M1" s="825" t="s">
        <v>2209</v>
      </c>
      <c r="N1" s="825" t="s">
        <v>2210</v>
      </c>
      <c r="O1" s="4292" t="s">
        <v>2211</v>
      </c>
      <c r="P1" s="4292"/>
      <c r="Q1" s="4292"/>
      <c r="R1" s="4292"/>
      <c r="S1" s="4292"/>
      <c r="T1" s="4292" t="s">
        <v>2209</v>
      </c>
      <c r="U1" s="4292"/>
      <c r="V1" s="4292"/>
      <c r="W1" s="4292"/>
      <c r="X1" s="4292"/>
      <c r="Y1" s="926"/>
      <c r="Z1" s="4292" t="s">
        <v>2212</v>
      </c>
      <c r="AA1" s="4292"/>
      <c r="AB1" s="4292"/>
      <c r="AC1" s="4292"/>
      <c r="AD1" s="4292"/>
    </row>
    <row r="2" spans="1:34" ht="18" customHeight="1">
      <c r="A2" s="774"/>
      <c r="B2" s="774"/>
      <c r="C2" s="769" t="s">
        <v>1016</v>
      </c>
      <c r="D2" s="769" t="s">
        <v>1062</v>
      </c>
      <c r="E2" s="769" t="s">
        <v>1115</v>
      </c>
      <c r="F2" s="769" t="s">
        <v>1102</v>
      </c>
      <c r="G2" s="769" t="s">
        <v>1819</v>
      </c>
      <c r="H2" s="771"/>
      <c r="I2" s="771"/>
      <c r="J2" s="771"/>
      <c r="K2" s="771"/>
      <c r="L2" s="771"/>
      <c r="M2" s="771"/>
      <c r="N2" s="771"/>
      <c r="O2" s="769" t="s">
        <v>1016</v>
      </c>
      <c r="P2" s="769" t="s">
        <v>1062</v>
      </c>
      <c r="Q2" s="769" t="s">
        <v>1102</v>
      </c>
      <c r="R2" s="769" t="s">
        <v>1115</v>
      </c>
      <c r="S2" s="769" t="s">
        <v>1819</v>
      </c>
      <c r="T2" s="769" t="s">
        <v>1016</v>
      </c>
      <c r="U2" s="769" t="s">
        <v>1062</v>
      </c>
      <c r="V2" s="769" t="s">
        <v>1102</v>
      </c>
      <c r="W2" s="769" t="s">
        <v>1115</v>
      </c>
      <c r="X2" s="769" t="s">
        <v>1819</v>
      </c>
      <c r="Y2" s="769"/>
      <c r="Z2" s="769" t="s">
        <v>1016</v>
      </c>
      <c r="AA2" s="778" t="s">
        <v>1062</v>
      </c>
      <c r="AB2" s="769" t="s">
        <v>1102</v>
      </c>
      <c r="AC2" s="769" t="s">
        <v>1115</v>
      </c>
      <c r="AD2" s="769" t="s">
        <v>1819</v>
      </c>
    </row>
    <row r="3" spans="1:34" ht="162" customHeight="1">
      <c r="A3" s="773" t="s">
        <v>13</v>
      </c>
      <c r="B3" s="773"/>
      <c r="C3" s="4296" t="s">
        <v>2213</v>
      </c>
      <c r="D3" s="4297"/>
      <c r="E3" s="4297"/>
      <c r="F3" s="4298"/>
      <c r="G3" s="771"/>
      <c r="H3" s="771"/>
      <c r="I3" s="771"/>
      <c r="J3" s="771"/>
      <c r="K3" s="771"/>
      <c r="L3" s="771"/>
      <c r="M3" s="771"/>
      <c r="N3" s="77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1"/>
      <c r="P3" s="771"/>
      <c r="Q3" s="771"/>
      <c r="R3" s="771"/>
      <c r="S3" s="771"/>
      <c r="T3" s="771"/>
      <c r="U3" s="771"/>
      <c r="V3" s="771"/>
      <c r="W3" s="771"/>
      <c r="X3" s="771"/>
      <c r="Y3" s="927"/>
      <c r="Z3" s="774" t="s">
        <v>2214</v>
      </c>
      <c r="AA3" s="771" t="s">
        <v>2215</v>
      </c>
      <c r="AB3" s="774" t="s">
        <v>2216</v>
      </c>
      <c r="AC3" s="774" t="s">
        <v>2217</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7"/>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7"/>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7"/>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7"/>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7"/>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7"/>
      <c r="Z9" s="774"/>
      <c r="AA9" s="777"/>
      <c r="AB9" s="774"/>
      <c r="AC9" s="774"/>
      <c r="AD9" s="774"/>
    </row>
    <row r="10" spans="1:34" ht="9" customHeight="1">
      <c r="A10" s="826"/>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row>
    <row r="11" spans="1:34" ht="45" customHeight="1">
      <c r="A11" s="4293" t="s">
        <v>20</v>
      </c>
      <c r="B11" s="826">
        <v>1</v>
      </c>
      <c r="C11" s="4299" t="s">
        <v>658</v>
      </c>
      <c r="D11" s="4299" t="s">
        <v>659</v>
      </c>
      <c r="E11" s="4299" t="s">
        <v>120</v>
      </c>
      <c r="F11" s="4299" t="s">
        <v>2218</v>
      </c>
      <c r="G11" s="4299"/>
      <c r="H11" s="825" t="s">
        <v>2219</v>
      </c>
      <c r="I11" s="825"/>
      <c r="J11" s="825"/>
      <c r="K11" s="825"/>
      <c r="L11" s="825"/>
      <c r="M11" s="772" t="str">
        <f>IF(TEMPLATE_SPHERE="HEAT",T11,U11)</f>
        <v>Количество поданных заявок</v>
      </c>
      <c r="N11" s="772"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1"/>
      <c r="P11" s="771"/>
      <c r="Q11" s="771"/>
      <c r="R11" s="771"/>
      <c r="S11" s="771"/>
      <c r="T11" s="771" t="s">
        <v>2220</v>
      </c>
      <c r="U11" s="771" t="s">
        <v>2221</v>
      </c>
      <c r="V11" s="771"/>
      <c r="W11" s="771"/>
      <c r="X11" s="771"/>
      <c r="Y11" s="927"/>
      <c r="Z11" s="774" t="s">
        <v>2222</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4"/>
      <c r="AC11" s="774"/>
      <c r="AD11" s="774"/>
    </row>
    <row r="12" spans="1:34" ht="45" customHeight="1">
      <c r="A12" s="4293"/>
      <c r="B12" s="826">
        <v>2</v>
      </c>
      <c r="C12" s="4300"/>
      <c r="D12" s="4300"/>
      <c r="E12" s="4300"/>
      <c r="F12" s="4300"/>
      <c r="G12" s="4300"/>
      <c r="H12" s="825" t="s">
        <v>2223</v>
      </c>
      <c r="I12" s="825"/>
      <c r="J12" s="825"/>
      <c r="K12" s="825"/>
      <c r="L12" s="825"/>
      <c r="M12" s="772" t="str">
        <f>IF(TEMPLATE_SPHERE="HEAT",T12,U12)</f>
        <v>Количество рассмотренных заявок</v>
      </c>
      <c r="N12" s="772"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1"/>
      <c r="P12" s="771"/>
      <c r="Q12" s="771"/>
      <c r="R12" s="771"/>
      <c r="S12" s="771"/>
      <c r="T12" s="771" t="s">
        <v>2224</v>
      </c>
      <c r="U12" s="771" t="s">
        <v>2225</v>
      </c>
      <c r="V12" s="771"/>
      <c r="W12" s="771"/>
      <c r="X12" s="771"/>
      <c r="Y12" s="927"/>
      <c r="Z12" s="774" t="s">
        <v>2226</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4"/>
      <c r="AC12" s="774"/>
      <c r="AD12" s="774"/>
    </row>
    <row r="13" spans="1:34" ht="72" customHeight="1">
      <c r="A13" s="4293"/>
      <c r="B13" s="826">
        <v>3</v>
      </c>
      <c r="C13" s="4300"/>
      <c r="D13" s="4300"/>
      <c r="E13" s="4300"/>
      <c r="F13" s="4300"/>
      <c r="G13" s="4300"/>
      <c r="H13" s="4292" t="s">
        <v>2227</v>
      </c>
      <c r="I13" s="825"/>
      <c r="J13" s="825"/>
      <c r="K13" s="825"/>
      <c r="L13" s="825"/>
      <c r="M13" s="77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2" t="str">
        <f t="shared" si="0"/>
        <v>Указывается количество заявок с решением об отказе в течение отчетного квартала.</v>
      </c>
      <c r="O13" s="771"/>
      <c r="P13" s="772"/>
      <c r="Q13" s="772"/>
      <c r="R13" s="772"/>
      <c r="S13" s="771"/>
      <c r="T13" s="771" t="s">
        <v>2228</v>
      </c>
      <c r="U13" s="772" t="s">
        <v>2229</v>
      </c>
      <c r="V13" s="772"/>
      <c r="W13" s="772"/>
      <c r="X13" s="771"/>
      <c r="Y13" s="927"/>
      <c r="Z13" s="774" t="s">
        <v>2230</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4"/>
      <c r="AC13" s="774"/>
      <c r="AD13" s="774"/>
    </row>
    <row r="14" spans="1:34" ht="45" customHeight="1">
      <c r="A14" s="4293"/>
      <c r="B14" s="826">
        <v>4</v>
      </c>
      <c r="C14" s="4300"/>
      <c r="D14" s="4300"/>
      <c r="E14" s="4300"/>
      <c r="F14" s="4300"/>
      <c r="G14" s="4300"/>
      <c r="H14" s="4292"/>
      <c r="I14" s="828"/>
      <c r="J14" s="828"/>
      <c r="K14" s="828"/>
      <c r="L14" s="828"/>
      <c r="M14" s="775" t="str">
        <f>IF(TEMPLATE_SPHERE="HEAT",T14,U14)</f>
        <v>Причины отказа в заключении договора о подключении (технологическом присоединении) к системе теплоснабжения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2231</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2"/>
      <c r="W14" s="772"/>
      <c r="X14" s="771"/>
      <c r="Y14" s="927"/>
      <c r="Z14" s="774" t="s">
        <v>2232</v>
      </c>
      <c r="AA14" s="777" t="s">
        <v>2232</v>
      </c>
      <c r="AB14" s="774"/>
      <c r="AC14" s="774"/>
      <c r="AD14" s="774"/>
    </row>
    <row r="15" spans="1:34" ht="108" customHeight="1">
      <c r="A15" s="4293"/>
      <c r="B15" s="826">
        <v>5</v>
      </c>
      <c r="C15" s="4300"/>
      <c r="D15" s="4300"/>
      <c r="E15" s="4300"/>
      <c r="F15" s="4300"/>
      <c r="G15" s="4300"/>
      <c r="H15" s="4294" t="s">
        <v>2233</v>
      </c>
      <c r="I15" s="827"/>
      <c r="J15" s="827"/>
      <c r="K15" s="827"/>
      <c r="L15" s="827"/>
      <c r="M15" s="777" t="str">
        <f>IF(TEMPLATE_SPHERE="HEAT",T15,U15)</f>
        <v>Резерв мощности источников тепловой энергии, входящих в систему теплоснабжения, в течение одного квартала, в том числе:</v>
      </c>
      <c r="N15"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1"/>
      <c r="P15" s="772"/>
      <c r="Q15" s="772"/>
      <c r="R15" s="772"/>
      <c r="S15" s="771"/>
      <c r="T15" s="771" t="s">
        <v>2234</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2"/>
      <c r="W15" s="772"/>
      <c r="X15" s="771"/>
      <c r="Y15" s="927"/>
      <c r="Z15" s="774" t="s">
        <v>2235</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4"/>
      <c r="AC15" s="774"/>
      <c r="AD15" s="774"/>
    </row>
    <row r="16" spans="1:34" ht="108" customHeight="1">
      <c r="A16" s="826"/>
      <c r="B16" s="826">
        <v>6</v>
      </c>
      <c r="C16" s="4301"/>
      <c r="D16" s="4301"/>
      <c r="E16" s="4301"/>
      <c r="F16" s="4301"/>
      <c r="G16" s="4301"/>
      <c r="H16" s="4295"/>
      <c r="I16" s="889"/>
      <c r="J16" s="889"/>
      <c r="K16" s="889"/>
      <c r="L16" s="889"/>
      <c r="M16" s="819"/>
      <c r="N16"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1"/>
      <c r="P16" s="772"/>
      <c r="Q16" s="772"/>
      <c r="R16" s="772"/>
      <c r="S16" s="771"/>
      <c r="T16" s="771"/>
      <c r="U16" s="772"/>
      <c r="V16" s="772"/>
      <c r="W16" s="772"/>
      <c r="X16" s="771"/>
      <c r="Y16" s="927"/>
      <c r="Z16" s="774" t="s">
        <v>2235</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4"/>
      <c r="AC16" s="774"/>
      <c r="AD16" s="774"/>
    </row>
    <row r="17" spans="1:30" ht="9" customHeight="1">
      <c r="A17" s="826"/>
      <c r="B17" s="826"/>
      <c r="C17" s="826">
        <v>22</v>
      </c>
      <c r="D17" s="826">
        <v>21</v>
      </c>
      <c r="E17" s="826">
        <v>42</v>
      </c>
      <c r="F17" s="826">
        <v>63</v>
      </c>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row>
    <row r="18" spans="1:30" ht="27" customHeight="1">
      <c r="A18" s="773" t="s">
        <v>1854</v>
      </c>
      <c r="B18" s="826">
        <v>1</v>
      </c>
      <c r="C18" s="771" t="s">
        <v>2219</v>
      </c>
      <c r="D18" s="894" t="s">
        <v>2219</v>
      </c>
      <c r="E18" s="771" t="s">
        <v>2219</v>
      </c>
      <c r="F18" s="771" t="s">
        <v>2219</v>
      </c>
      <c r="G18" s="771"/>
      <c r="H18" s="929"/>
      <c r="I18" s="932">
        <f t="shared" ref="I18:I49" si="1">INDEX(TEMPLATE_NUMBER_POINT_FHD,B18,MATCH(TEMPLATE_SPHERE,TEMPLATE_SPHERE_LIST_FOR_NOTE,0))</f>
        <v>1</v>
      </c>
      <c r="J18" s="932"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2">
        <f t="shared" ref="L18:L49" si="4">IF(I18=0,"",I18)</f>
        <v>1</v>
      </c>
      <c r="M18" s="772" t="str">
        <f t="shared" ref="M18:M49" si="5">IF(J18=0,"",J18)</f>
        <v>Выручка от регулируемого вида деятельности с распределением по видам деятельности</v>
      </c>
      <c r="N18" s="772" t="str">
        <f t="shared" ref="N18:N49" si="6">IF(K18=0,"",K18)</f>
        <v>Указывается выручка от регулируемого вида деятельности с распределением по видам деятельности.</v>
      </c>
      <c r="O18" s="884">
        <v>1</v>
      </c>
      <c r="P18" s="884">
        <v>1</v>
      </c>
      <c r="Q18" s="884">
        <v>1</v>
      </c>
      <c r="R18" s="884">
        <v>1</v>
      </c>
      <c r="S18" s="884"/>
      <c r="T18" s="891" t="s">
        <v>2236</v>
      </c>
      <c r="U18" s="774" t="s">
        <v>2237</v>
      </c>
      <c r="V18" s="774" t="s">
        <v>2238</v>
      </c>
      <c r="W18" s="774" t="s">
        <v>2239</v>
      </c>
      <c r="X18" s="771"/>
      <c r="Y18" s="927"/>
      <c r="Z18" s="774" t="s">
        <v>2240</v>
      </c>
      <c r="AA18" s="777" t="s">
        <v>2241</v>
      </c>
      <c r="AB18" s="777" t="s">
        <v>2241</v>
      </c>
      <c r="AC18" s="777" t="s">
        <v>2241</v>
      </c>
      <c r="AD18" s="774"/>
    </row>
    <row r="19" spans="1:30" ht="36" customHeight="1">
      <c r="A19" s="773"/>
      <c r="B19" s="826">
        <v>2</v>
      </c>
      <c r="C19" s="771" t="s">
        <v>2223</v>
      </c>
      <c r="D19" s="894" t="s">
        <v>2223</v>
      </c>
      <c r="E19" s="771" t="s">
        <v>2223</v>
      </c>
      <c r="F19" s="771" t="s">
        <v>2223</v>
      </c>
      <c r="G19" s="771"/>
      <c r="H19" s="929"/>
      <c r="I19" s="932">
        <f t="shared" si="1"/>
        <v>2</v>
      </c>
      <c r="J19" s="932" t="str">
        <f t="shared" si="2"/>
        <v>Себестоимость производимых товаров (оказываемых услуг) по регулируемому виду деятельности, включая:</v>
      </c>
      <c r="K19" s="932"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регулируемому виду деятельности, включая:</v>
      </c>
      <c r="N19" s="772" t="str">
        <f t="shared" si="6"/>
        <v>Указывается суммарная себестоимость производимых товаров.</v>
      </c>
      <c r="O19" s="884">
        <v>2</v>
      </c>
      <c r="P19" s="884">
        <v>2</v>
      </c>
      <c r="Q19" s="884">
        <v>2</v>
      </c>
      <c r="R19" s="884">
        <v>2</v>
      </c>
      <c r="S19" s="884"/>
      <c r="T19" s="891" t="s">
        <v>2242</v>
      </c>
      <c r="U19" s="774" t="s">
        <v>2243</v>
      </c>
      <c r="V19" s="774" t="s">
        <v>2244</v>
      </c>
      <c r="W19" s="774" t="s">
        <v>2245</v>
      </c>
      <c r="X19" s="771"/>
      <c r="Y19" s="927"/>
      <c r="Z19" s="774" t="s">
        <v>2246</v>
      </c>
      <c r="AA19" s="777" t="s">
        <v>2246</v>
      </c>
      <c r="AB19" s="777" t="s">
        <v>2246</v>
      </c>
      <c r="AC19" s="777" t="s">
        <v>2246</v>
      </c>
      <c r="AD19" s="774"/>
    </row>
    <row r="20" spans="1:30" ht="27" customHeight="1">
      <c r="A20" s="773"/>
      <c r="B20" s="826">
        <v>3</v>
      </c>
      <c r="C20" s="771">
        <v>1</v>
      </c>
      <c r="D20" s="894"/>
      <c r="E20" s="771"/>
      <c r="F20" s="771"/>
      <c r="G20" s="771"/>
      <c r="H20" s="929"/>
      <c r="I20" s="932" t="str">
        <f t="shared" si="1"/>
        <v>2.1</v>
      </c>
      <c r="J20" s="932" t="str">
        <f t="shared" si="2"/>
        <v>Расходы на приобретаемую тепловую энергию (мощность), теплоноситель</v>
      </c>
      <c r="K20" s="932">
        <f t="shared" si="3"/>
        <v>0</v>
      </c>
      <c r="L20" s="772" t="str">
        <f t="shared" si="4"/>
        <v>2.1</v>
      </c>
      <c r="M20" s="772" t="str">
        <f t="shared" si="5"/>
        <v>Расходы на приобретаемую тепловую энергию (мощность), теплоноситель</v>
      </c>
      <c r="N20" s="772" t="str">
        <f t="shared" si="6"/>
        <v/>
      </c>
      <c r="O20" s="884" t="s">
        <v>917</v>
      </c>
      <c r="P20" s="884" t="s">
        <v>917</v>
      </c>
      <c r="Q20" s="884" t="s">
        <v>917</v>
      </c>
      <c r="R20" s="884" t="s">
        <v>917</v>
      </c>
      <c r="S20" s="884"/>
      <c r="T20" s="891" t="s">
        <v>2247</v>
      </c>
      <c r="U20" s="774" t="s">
        <v>2248</v>
      </c>
      <c r="V20" s="774" t="s">
        <v>2249</v>
      </c>
      <c r="W20" s="774" t="s">
        <v>2250</v>
      </c>
      <c r="X20" s="771"/>
      <c r="Y20" s="927"/>
      <c r="Z20" s="774"/>
      <c r="AA20" s="777"/>
      <c r="AB20" s="774"/>
      <c r="AC20" s="774"/>
      <c r="AD20" s="774"/>
    </row>
    <row r="21" spans="1:30" ht="36" customHeight="1">
      <c r="A21" s="773"/>
      <c r="B21" s="826">
        <v>4</v>
      </c>
      <c r="C21" s="771">
        <v>2</v>
      </c>
      <c r="D21" s="894"/>
      <c r="E21" s="771"/>
      <c r="F21" s="771"/>
      <c r="G21" s="771"/>
      <c r="H21" s="929"/>
      <c r="I21" s="932" t="str">
        <f t="shared" si="1"/>
        <v>2.2</v>
      </c>
      <c r="J21" s="93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2" t="str">
        <f t="shared" si="3"/>
        <v>Указываются суммарные расходы на приобретение топлива всех видов.</v>
      </c>
      <c r="L21" s="772" t="str">
        <f t="shared" si="4"/>
        <v>2.2</v>
      </c>
      <c r="M21" s="772"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2" t="str">
        <f t="shared" si="6"/>
        <v>Указываются суммарные расходы на приобретение топлива всех видов.</v>
      </c>
      <c r="O21" s="884" t="s">
        <v>515</v>
      </c>
      <c r="P21" s="884"/>
      <c r="Q21" s="884"/>
      <c r="R21" s="884"/>
      <c r="S21" s="884"/>
      <c r="T21" s="891" t="s">
        <v>2251</v>
      </c>
      <c r="U21" s="774"/>
      <c r="V21" s="774"/>
      <c r="W21" s="774"/>
      <c r="X21" s="771"/>
      <c r="Y21" s="927"/>
      <c r="Z21" s="774" t="s">
        <v>2252</v>
      </c>
      <c r="AA21" s="777"/>
      <c r="AB21" s="774"/>
      <c r="AC21" s="774"/>
      <c r="AD21" s="774"/>
    </row>
    <row r="22" spans="1:30" ht="36" customHeight="1">
      <c r="A22" s="773"/>
      <c r="B22" s="826">
        <v>5</v>
      </c>
      <c r="C22" s="771">
        <v>3</v>
      </c>
      <c r="D22" s="894"/>
      <c r="E22" s="771"/>
      <c r="F22" s="771"/>
      <c r="G22" s="818"/>
      <c r="H22" s="885"/>
      <c r="I22" s="932">
        <f t="shared" si="1"/>
        <v>0</v>
      </c>
      <c r="J22" s="932">
        <f t="shared" si="2"/>
        <v>0</v>
      </c>
      <c r="K22" s="932">
        <f t="shared" si="3"/>
        <v>0</v>
      </c>
      <c r="L22" s="772" t="str">
        <f t="shared" si="4"/>
        <v/>
      </c>
      <c r="M22" s="772" t="str">
        <f t="shared" si="5"/>
        <v/>
      </c>
      <c r="N22" s="772" t="str">
        <f t="shared" si="6"/>
        <v/>
      </c>
      <c r="O22" s="884"/>
      <c r="P22" s="884"/>
      <c r="Q22" s="884" t="s">
        <v>515</v>
      </c>
      <c r="R22" s="884"/>
      <c r="S22" s="884"/>
      <c r="T22" s="891"/>
      <c r="U22" s="774"/>
      <c r="V22" s="774" t="s">
        <v>2253</v>
      </c>
      <c r="W22" s="774"/>
      <c r="X22" s="771"/>
      <c r="Y22" s="927"/>
      <c r="Z22" s="774"/>
      <c r="AA22" s="777"/>
      <c r="AB22" s="774"/>
      <c r="AC22" s="774"/>
      <c r="AD22" s="774"/>
    </row>
    <row r="23" spans="1:30" ht="27" customHeight="1">
      <c r="A23" s="773"/>
      <c r="B23" s="826">
        <v>6</v>
      </c>
      <c r="C23" s="771">
        <v>4</v>
      </c>
      <c r="D23" s="894"/>
      <c r="E23" s="771"/>
      <c r="F23" s="771"/>
      <c r="G23" s="818"/>
      <c r="H23" s="885"/>
      <c r="I23" s="932">
        <f t="shared" si="1"/>
        <v>0</v>
      </c>
      <c r="J23" s="932">
        <f t="shared" si="2"/>
        <v>0</v>
      </c>
      <c r="K23" s="932">
        <f t="shared" si="3"/>
        <v>0</v>
      </c>
      <c r="L23" s="772" t="str">
        <f t="shared" si="4"/>
        <v/>
      </c>
      <c r="M23" s="772" t="str">
        <f t="shared" si="5"/>
        <v/>
      </c>
      <c r="N23" s="772" t="str">
        <f t="shared" si="6"/>
        <v/>
      </c>
      <c r="O23" s="884"/>
      <c r="P23" s="884"/>
      <c r="Q23" s="884" t="s">
        <v>518</v>
      </c>
      <c r="R23" s="884"/>
      <c r="S23" s="884"/>
      <c r="T23" s="891"/>
      <c r="U23" s="774"/>
      <c r="V23" s="774" t="s">
        <v>2254</v>
      </c>
      <c r="W23" s="774"/>
      <c r="X23" s="771"/>
      <c r="Y23" s="927"/>
      <c r="Z23" s="774"/>
      <c r="AA23" s="777"/>
      <c r="AB23" s="774"/>
      <c r="AC23" s="774"/>
      <c r="AD23" s="774"/>
    </row>
    <row r="24" spans="1:30" ht="36" customHeight="1">
      <c r="A24" s="773"/>
      <c r="B24" s="826">
        <v>7</v>
      </c>
      <c r="C24" s="771">
        <v>5</v>
      </c>
      <c r="D24" s="894"/>
      <c r="E24" s="771"/>
      <c r="F24" s="771"/>
      <c r="G24" s="818"/>
      <c r="H24" s="885"/>
      <c r="I24" s="932">
        <f t="shared" si="1"/>
        <v>0</v>
      </c>
      <c r="J24" s="932">
        <f t="shared" si="2"/>
        <v>0</v>
      </c>
      <c r="K24" s="932">
        <f t="shared" si="3"/>
        <v>0</v>
      </c>
      <c r="L24" s="772" t="str">
        <f t="shared" si="4"/>
        <v/>
      </c>
      <c r="M24" s="772" t="str">
        <f t="shared" si="5"/>
        <v/>
      </c>
      <c r="N24" s="772" t="str">
        <f t="shared" si="6"/>
        <v/>
      </c>
      <c r="O24" s="884"/>
      <c r="P24" s="884"/>
      <c r="Q24" s="884" t="s">
        <v>937</v>
      </c>
      <c r="R24" s="884"/>
      <c r="S24" s="884"/>
      <c r="T24" s="891"/>
      <c r="U24" s="774"/>
      <c r="V24" s="774" t="s">
        <v>2255</v>
      </c>
      <c r="W24" s="774"/>
      <c r="X24" s="771"/>
      <c r="Y24" s="927"/>
      <c r="Z24" s="774"/>
      <c r="AA24" s="777"/>
      <c r="AB24" s="774"/>
      <c r="AC24" s="774"/>
      <c r="AD24" s="774"/>
    </row>
    <row r="25" spans="1:30" ht="36" customHeight="1">
      <c r="A25" s="773"/>
      <c r="B25" s="826">
        <v>8</v>
      </c>
      <c r="C25" s="771">
        <v>6</v>
      </c>
      <c r="D25" s="894"/>
      <c r="E25" s="771"/>
      <c r="F25" s="771"/>
      <c r="G25" s="818"/>
      <c r="H25" s="885"/>
      <c r="I25" s="932" t="str">
        <f t="shared" si="1"/>
        <v>2.3</v>
      </c>
      <c r="J25" s="932" t="str">
        <f t="shared" si="2"/>
        <v>Расходы на приобретаемую электрическую энергию (мощность), используемую в технологическом процессе</v>
      </c>
      <c r="K25" s="932">
        <f t="shared" si="3"/>
        <v>0</v>
      </c>
      <c r="L25" s="772" t="str">
        <f t="shared" si="4"/>
        <v>2.3</v>
      </c>
      <c r="M25" s="772" t="str">
        <f t="shared" si="5"/>
        <v>Расходы на приобретаемую электрическую энергию (мощность), используемую в технологическом процессе</v>
      </c>
      <c r="N25" s="772" t="str">
        <f t="shared" si="6"/>
        <v/>
      </c>
      <c r="O25" s="884" t="s">
        <v>518</v>
      </c>
      <c r="P25" s="884" t="s">
        <v>515</v>
      </c>
      <c r="Q25" s="884" t="s">
        <v>944</v>
      </c>
      <c r="R25" s="884" t="s">
        <v>515</v>
      </c>
      <c r="S25" s="884"/>
      <c r="T25" s="891" t="s">
        <v>2256</v>
      </c>
      <c r="U25" s="774" t="s">
        <v>2256</v>
      </c>
      <c r="V25" s="774" t="s">
        <v>2256</v>
      </c>
      <c r="W25" s="774" t="s">
        <v>2256</v>
      </c>
      <c r="X25" s="771"/>
      <c r="Y25" s="927"/>
      <c r="Z25" s="774"/>
      <c r="AA25" s="777"/>
      <c r="AB25" s="774"/>
      <c r="AC25" s="774"/>
      <c r="AD25" s="774"/>
    </row>
    <row r="26" spans="1:30" ht="18" customHeight="1">
      <c r="A26" s="773"/>
      <c r="B26" s="826">
        <v>9</v>
      </c>
      <c r="C26" s="771" t="s">
        <v>861</v>
      </c>
      <c r="D26" s="894"/>
      <c r="E26" s="771"/>
      <c r="F26" s="771"/>
      <c r="G26" s="818"/>
      <c r="H26" s="885"/>
      <c r="I26" s="932" t="str">
        <f t="shared" si="1"/>
        <v>2.3.1</v>
      </c>
      <c r="J26" s="932" t="str">
        <f t="shared" si="2"/>
        <v>Средневзвешенная стоимость 1 кВт.ч (с учетом мощности)</v>
      </c>
      <c r="K26" s="932">
        <f t="shared" si="3"/>
        <v>0</v>
      </c>
      <c r="L26" s="772" t="str">
        <f t="shared" si="4"/>
        <v>2.3.1</v>
      </c>
      <c r="M26" s="772" t="str">
        <f t="shared" si="5"/>
        <v>Средневзвешенная стоимость 1 кВт.ч (с учетом мощности)</v>
      </c>
      <c r="N26" s="772" t="str">
        <f t="shared" si="6"/>
        <v/>
      </c>
      <c r="O26" s="884" t="s">
        <v>933</v>
      </c>
      <c r="P26" s="884" t="s">
        <v>927</v>
      </c>
      <c r="Q26" s="884" t="s">
        <v>2257</v>
      </c>
      <c r="R26" s="884" t="s">
        <v>927</v>
      </c>
      <c r="S26" s="884"/>
      <c r="T26" s="891"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1" t="s">
        <v>2258</v>
      </c>
      <c r="V26" s="891" t="s">
        <v>2258</v>
      </c>
      <c r="W26" s="891" t="s">
        <v>2258</v>
      </c>
      <c r="X26" s="771"/>
      <c r="Y26" s="927"/>
      <c r="Z26" s="774"/>
      <c r="AA26" s="777"/>
      <c r="AB26" s="774"/>
      <c r="AC26" s="774"/>
      <c r="AD26" s="774"/>
    </row>
    <row r="27" spans="1:30" ht="18" customHeight="1">
      <c r="A27" s="773"/>
      <c r="B27" s="826">
        <v>10</v>
      </c>
      <c r="C27" s="771" t="s">
        <v>865</v>
      </c>
      <c r="D27" s="894"/>
      <c r="E27" s="771"/>
      <c r="F27" s="771"/>
      <c r="G27" s="818"/>
      <c r="H27" s="885"/>
      <c r="I27" s="932" t="str">
        <f t="shared" si="1"/>
        <v>2.3.2</v>
      </c>
      <c r="J27" s="932" t="str">
        <f t="shared" si="2"/>
        <v>Объём приобретения электрической энергии</v>
      </c>
      <c r="K27" s="932">
        <f t="shared" si="3"/>
        <v>0</v>
      </c>
      <c r="L27" s="772" t="str">
        <f t="shared" si="4"/>
        <v>2.3.2</v>
      </c>
      <c r="M27" s="772" t="str">
        <f t="shared" si="5"/>
        <v>Объём приобретения электрической энергии</v>
      </c>
      <c r="N27" s="772" t="str">
        <f t="shared" si="6"/>
        <v/>
      </c>
      <c r="O27" s="884" t="s">
        <v>935</v>
      </c>
      <c r="P27" s="884" t="s">
        <v>929</v>
      </c>
      <c r="Q27" s="884" t="s">
        <v>2259</v>
      </c>
      <c r="R27" s="884" t="s">
        <v>929</v>
      </c>
      <c r="S27" s="884"/>
      <c r="T27" s="891" t="s">
        <v>2260</v>
      </c>
      <c r="U27" s="891" t="s">
        <v>2260</v>
      </c>
      <c r="V27" s="891" t="s">
        <v>2260</v>
      </c>
      <c r="W27" s="891" t="s">
        <v>2260</v>
      </c>
      <c r="X27" s="771"/>
      <c r="Y27" s="927"/>
      <c r="Z27" s="774"/>
      <c r="AA27" s="777"/>
      <c r="AB27" s="774"/>
      <c r="AC27" s="774"/>
      <c r="AD27" s="774"/>
    </row>
    <row r="28" spans="1:30" ht="27" customHeight="1">
      <c r="A28" s="773"/>
      <c r="B28" s="826">
        <v>11</v>
      </c>
      <c r="C28" s="771">
        <v>7</v>
      </c>
      <c r="D28" s="894"/>
      <c r="E28" s="771"/>
      <c r="F28" s="771"/>
      <c r="G28" s="818"/>
      <c r="H28" s="885"/>
      <c r="I28" s="932" t="str">
        <f t="shared" si="1"/>
        <v>2.4</v>
      </c>
      <c r="J28" s="932" t="str">
        <f t="shared" si="2"/>
        <v>Расходы на приобретение холодной воды, используемой в технологическом процессе</v>
      </c>
      <c r="K28" s="932">
        <f t="shared" si="3"/>
        <v>0</v>
      </c>
      <c r="L28" s="772" t="str">
        <f t="shared" si="4"/>
        <v>2.4</v>
      </c>
      <c r="M28" s="772" t="str">
        <f t="shared" si="5"/>
        <v>Расходы на приобретение холодной воды, используемой в технологическом процессе</v>
      </c>
      <c r="N28" s="772" t="str">
        <f t="shared" si="6"/>
        <v/>
      </c>
      <c r="O28" s="884" t="s">
        <v>937</v>
      </c>
      <c r="P28" s="884"/>
      <c r="Q28" s="884"/>
      <c r="R28" s="884"/>
      <c r="S28" s="884"/>
      <c r="T28" s="891" t="s">
        <v>2261</v>
      </c>
      <c r="U28" s="774"/>
      <c r="V28" s="774"/>
      <c r="W28" s="774"/>
      <c r="X28" s="771"/>
      <c r="Y28" s="927"/>
      <c r="Z28" s="774"/>
      <c r="AA28" s="777"/>
      <c r="AB28" s="774"/>
      <c r="AC28" s="774"/>
      <c r="AD28" s="774"/>
    </row>
    <row r="29" spans="1:30" ht="27" customHeight="1">
      <c r="A29" s="773"/>
      <c r="B29" s="826">
        <v>12</v>
      </c>
      <c r="C29" s="771">
        <v>8</v>
      </c>
      <c r="D29" s="894"/>
      <c r="E29" s="771"/>
      <c r="F29" s="771"/>
      <c r="G29" s="818"/>
      <c r="H29" s="885"/>
      <c r="I29" s="932" t="str">
        <f t="shared" si="1"/>
        <v>2.5</v>
      </c>
      <c r="J29" s="932" t="str">
        <f t="shared" si="2"/>
        <v>Расходы на  химические реагенты, используемые в технологическом процессе</v>
      </c>
      <c r="K29" s="932">
        <f t="shared" si="3"/>
        <v>0</v>
      </c>
      <c r="L29" s="772" t="str">
        <f t="shared" si="4"/>
        <v>2.5</v>
      </c>
      <c r="M29" s="772" t="str">
        <f t="shared" si="5"/>
        <v>Расходы на  химические реагенты, используемые в технологическом процессе</v>
      </c>
      <c r="N29" s="772" t="str">
        <f t="shared" si="6"/>
        <v/>
      </c>
      <c r="O29" s="884" t="s">
        <v>944</v>
      </c>
      <c r="P29" s="884" t="s">
        <v>518</v>
      </c>
      <c r="Q29" s="884"/>
      <c r="R29" s="884" t="s">
        <v>518</v>
      </c>
      <c r="S29" s="884"/>
      <c r="T29" s="891"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4" t="s">
        <v>2262</v>
      </c>
      <c r="V29" s="774"/>
      <c r="W29" s="774" t="s">
        <v>2262</v>
      </c>
      <c r="X29" s="771"/>
      <c r="Y29" s="927"/>
      <c r="Z29" s="774"/>
      <c r="AA29" s="777"/>
      <c r="AB29" s="774"/>
      <c r="AC29" s="774"/>
      <c r="AD29" s="774"/>
    </row>
    <row r="30" spans="1:30" ht="54" customHeight="1">
      <c r="A30" s="773"/>
      <c r="B30" s="826">
        <v>13</v>
      </c>
      <c r="C30" s="771">
        <v>9</v>
      </c>
      <c r="D30" s="894"/>
      <c r="E30" s="771"/>
      <c r="F30" s="771"/>
      <c r="G30" s="818"/>
      <c r="H30" s="885"/>
      <c r="I30" s="932" t="str">
        <f t="shared" si="1"/>
        <v>2.6</v>
      </c>
      <c r="J30" s="93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2">
        <f t="shared" si="3"/>
        <v>0</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
      </c>
      <c r="O30" s="884" t="s">
        <v>946</v>
      </c>
      <c r="P30" s="884" t="s">
        <v>937</v>
      </c>
      <c r="Q30" s="884" t="s">
        <v>946</v>
      </c>
      <c r="R30" s="884" t="s">
        <v>937</v>
      </c>
      <c r="S30" s="884"/>
      <c r="T30" s="891" t="s">
        <v>2263</v>
      </c>
      <c r="U30" s="774" t="s">
        <v>2263</v>
      </c>
      <c r="V30" s="774" t="s">
        <v>2263</v>
      </c>
      <c r="W30" s="774" t="s">
        <v>2263</v>
      </c>
      <c r="X30" s="771"/>
      <c r="Y30" s="927"/>
      <c r="Z30" s="774"/>
      <c r="AA30" s="777" t="s">
        <v>2264</v>
      </c>
      <c r="AB30" s="777" t="s">
        <v>2264</v>
      </c>
      <c r="AC30" s="777" t="s">
        <v>2264</v>
      </c>
      <c r="AD30" s="774"/>
    </row>
    <row r="31" spans="1:30" ht="18" customHeight="1">
      <c r="A31" s="773"/>
      <c r="B31" s="826">
        <v>14</v>
      </c>
      <c r="C31" s="771" t="s">
        <v>2265</v>
      </c>
      <c r="D31" s="894"/>
      <c r="E31" s="771"/>
      <c r="F31" s="771"/>
      <c r="G31" s="818"/>
      <c r="H31" s="885"/>
      <c r="I31" s="932" t="str">
        <f t="shared" si="1"/>
        <v>2.6.1</v>
      </c>
      <c r="J31" s="932" t="str">
        <f t="shared" si="2"/>
        <v>Расходы на оплату труда основного производственного персонала</v>
      </c>
      <c r="K31" s="932">
        <f t="shared" si="3"/>
        <v>0</v>
      </c>
      <c r="L31" s="772" t="str">
        <f t="shared" si="4"/>
        <v>2.6.1</v>
      </c>
      <c r="M31" s="772" t="str">
        <f t="shared" si="5"/>
        <v>Расходы на оплату труда основного производственного персонала</v>
      </c>
      <c r="N31" s="772" t="str">
        <f t="shared" si="6"/>
        <v/>
      </c>
      <c r="O31" s="884" t="s">
        <v>2266</v>
      </c>
      <c r="P31" s="884" t="s">
        <v>940</v>
      </c>
      <c r="Q31" s="884" t="s">
        <v>2266</v>
      </c>
      <c r="R31" s="884" t="s">
        <v>940</v>
      </c>
      <c r="S31" s="884"/>
      <c r="T31" s="892" t="s">
        <v>2267</v>
      </c>
      <c r="U31" s="774" t="s">
        <v>2267</v>
      </c>
      <c r="V31" s="774" t="s">
        <v>2267</v>
      </c>
      <c r="W31" s="774" t="s">
        <v>2267</v>
      </c>
      <c r="X31" s="771"/>
      <c r="Y31" s="927"/>
      <c r="Z31" s="774"/>
      <c r="AA31" s="777"/>
      <c r="AB31" s="777"/>
      <c r="AC31" s="777"/>
      <c r="AD31" s="774"/>
    </row>
    <row r="32" spans="1:30" ht="36" customHeight="1">
      <c r="A32" s="773"/>
      <c r="B32" s="826">
        <v>15</v>
      </c>
      <c r="C32" s="771" t="s">
        <v>2268</v>
      </c>
      <c r="D32" s="894"/>
      <c r="E32" s="771"/>
      <c r="F32" s="771"/>
      <c r="G32" s="818"/>
      <c r="H32" s="885"/>
      <c r="I32" s="932" t="str">
        <f t="shared" si="1"/>
        <v>2.6.2</v>
      </c>
      <c r="J32" s="93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2">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4" t="s">
        <v>2269</v>
      </c>
      <c r="P32" s="884" t="s">
        <v>942</v>
      </c>
      <c r="Q32" s="884" t="s">
        <v>2269</v>
      </c>
      <c r="R32" s="884" t="s">
        <v>942</v>
      </c>
      <c r="S32" s="884"/>
      <c r="T32" s="89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4" t="s">
        <v>2270</v>
      </c>
      <c r="V32" s="774" t="s">
        <v>2270</v>
      </c>
      <c r="W32" s="774" t="s">
        <v>2270</v>
      </c>
      <c r="X32" s="771"/>
      <c r="Y32" s="927"/>
      <c r="Z32" s="774"/>
      <c r="AA32" s="777"/>
      <c r="AB32" s="777"/>
      <c r="AC32" s="777"/>
      <c r="AD32" s="774"/>
    </row>
    <row r="33" spans="1:30" ht="45" customHeight="1">
      <c r="A33" s="773"/>
      <c r="B33" s="826">
        <v>16</v>
      </c>
      <c r="C33" s="771">
        <v>10</v>
      </c>
      <c r="D33" s="894"/>
      <c r="E33" s="771"/>
      <c r="F33" s="771"/>
      <c r="G33" s="818"/>
      <c r="H33" s="885"/>
      <c r="I33" s="932" t="str">
        <f t="shared" si="1"/>
        <v>2.7</v>
      </c>
      <c r="J33" s="93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2">
        <f t="shared" si="3"/>
        <v>0</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
      </c>
      <c r="O33" s="884" t="s">
        <v>948</v>
      </c>
      <c r="P33" s="884" t="s">
        <v>944</v>
      </c>
      <c r="Q33" s="884" t="s">
        <v>948</v>
      </c>
      <c r="R33" s="884" t="s">
        <v>944</v>
      </c>
      <c r="S33" s="884"/>
      <c r="T33" s="89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4" t="s">
        <v>2271</v>
      </c>
      <c r="V33" s="774" t="s">
        <v>2271</v>
      </c>
      <c r="W33" s="774" t="s">
        <v>2272</v>
      </c>
      <c r="X33" s="771"/>
      <c r="Y33" s="927"/>
      <c r="Z33" s="774"/>
      <c r="AA33" s="777" t="s">
        <v>2273</v>
      </c>
      <c r="AB33" s="777" t="s">
        <v>2273</v>
      </c>
      <c r="AC33" s="777" t="s">
        <v>2273</v>
      </c>
      <c r="AD33" s="774"/>
    </row>
    <row r="34" spans="1:30" ht="27" customHeight="1">
      <c r="A34" s="773"/>
      <c r="B34" s="826">
        <v>17</v>
      </c>
      <c r="C34" s="771" t="s">
        <v>2274</v>
      </c>
      <c r="D34" s="894"/>
      <c r="E34" s="771"/>
      <c r="F34" s="771"/>
      <c r="G34" s="818"/>
      <c r="H34" s="885"/>
      <c r="I34" s="932" t="str">
        <f t="shared" si="1"/>
        <v>2.7.1</v>
      </c>
      <c r="J34" s="932" t="str">
        <f t="shared" si="2"/>
        <v>Расходы на оплату труда административно-управленческого персонала</v>
      </c>
      <c r="K34" s="932">
        <f t="shared" si="3"/>
        <v>0</v>
      </c>
      <c r="L34" s="772" t="str">
        <f t="shared" si="4"/>
        <v>2.7.1</v>
      </c>
      <c r="M34" s="772" t="str">
        <f t="shared" si="5"/>
        <v>Расходы на оплату труда административно-управленческого персонала</v>
      </c>
      <c r="N34" s="772" t="str">
        <f t="shared" si="6"/>
        <v/>
      </c>
      <c r="O34" s="884" t="s">
        <v>2275</v>
      </c>
      <c r="P34" s="884" t="s">
        <v>2257</v>
      </c>
      <c r="Q34" s="884" t="s">
        <v>2275</v>
      </c>
      <c r="R34" s="884" t="s">
        <v>2257</v>
      </c>
      <c r="S34" s="884"/>
      <c r="T34" s="893" t="s">
        <v>2276</v>
      </c>
      <c r="U34" s="774" t="s">
        <v>2276</v>
      </c>
      <c r="V34" s="774" t="s">
        <v>2276</v>
      </c>
      <c r="W34" s="774" t="s">
        <v>2277</v>
      </c>
      <c r="X34" s="771"/>
      <c r="Y34" s="927"/>
      <c r="Z34" s="774"/>
      <c r="AA34" s="777"/>
      <c r="AB34" s="774"/>
      <c r="AC34" s="774"/>
      <c r="AD34" s="774"/>
    </row>
    <row r="35" spans="1:30" ht="45" customHeight="1">
      <c r="A35" s="773"/>
      <c r="B35" s="826">
        <v>18</v>
      </c>
      <c r="C35" s="771" t="s">
        <v>2278</v>
      </c>
      <c r="D35" s="894"/>
      <c r="E35" s="771"/>
      <c r="F35" s="771"/>
      <c r="G35" s="818"/>
      <c r="H35" s="885"/>
      <c r="I35" s="932" t="str">
        <f t="shared" si="1"/>
        <v>2.7.2</v>
      </c>
      <c r="J35" s="93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2">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4" t="s">
        <v>2279</v>
      </c>
      <c r="P35" s="884" t="s">
        <v>2259</v>
      </c>
      <c r="Q35" s="884" t="s">
        <v>2279</v>
      </c>
      <c r="R35" s="884" t="s">
        <v>2259</v>
      </c>
      <c r="S35" s="884"/>
      <c r="T35" s="89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4" t="s">
        <v>2280</v>
      </c>
      <c r="V35" s="774" t="s">
        <v>2280</v>
      </c>
      <c r="W35" s="774" t="s">
        <v>2280</v>
      </c>
      <c r="X35" s="771"/>
      <c r="Y35" s="927"/>
      <c r="Z35" s="774"/>
      <c r="AA35" s="777"/>
      <c r="AB35" s="774"/>
      <c r="AC35" s="774"/>
      <c r="AD35" s="774"/>
    </row>
    <row r="36" spans="1:30" ht="18" customHeight="1">
      <c r="A36" s="773"/>
      <c r="B36" s="826">
        <v>19</v>
      </c>
      <c r="C36" s="771">
        <v>11</v>
      </c>
      <c r="D36" s="894"/>
      <c r="E36" s="771"/>
      <c r="F36" s="771"/>
      <c r="G36" s="818"/>
      <c r="H36" s="885"/>
      <c r="I36" s="932" t="str">
        <f t="shared" si="1"/>
        <v>2.8</v>
      </c>
      <c r="J36" s="932" t="str">
        <f t="shared" si="2"/>
        <v>Расходы на амортизацию основных средств и нематериальных активов</v>
      </c>
      <c r="K36" s="932">
        <f t="shared" si="3"/>
        <v>0</v>
      </c>
      <c r="L36" s="772" t="str">
        <f t="shared" si="4"/>
        <v>2.8</v>
      </c>
      <c r="M36" s="772" t="str">
        <f t="shared" si="5"/>
        <v>Расходы на амортизацию основных средств и нематериальных активов</v>
      </c>
      <c r="N36" s="772" t="str">
        <f t="shared" si="6"/>
        <v/>
      </c>
      <c r="O36" s="884" t="s">
        <v>950</v>
      </c>
      <c r="P36" s="884" t="s">
        <v>946</v>
      </c>
      <c r="Q36" s="884" t="s">
        <v>950</v>
      </c>
      <c r="R36" s="884" t="s">
        <v>946</v>
      </c>
      <c r="S36" s="884"/>
      <c r="T36" s="891" t="s">
        <v>2281</v>
      </c>
      <c r="U36" s="774" t="s">
        <v>2281</v>
      </c>
      <c r="V36" s="774" t="s">
        <v>2281</v>
      </c>
      <c r="W36" s="774" t="s">
        <v>2281</v>
      </c>
      <c r="X36" s="771"/>
      <c r="Y36" s="927"/>
      <c r="Z36" s="774"/>
      <c r="AA36" s="777"/>
      <c r="AB36" s="774"/>
      <c r="AC36" s="774"/>
      <c r="AD36" s="774"/>
    </row>
    <row r="37" spans="1:30" ht="18" customHeight="1">
      <c r="A37" s="773"/>
      <c r="B37" s="826">
        <v>20</v>
      </c>
      <c r="C37" s="771" t="s">
        <v>2282</v>
      </c>
      <c r="D37" s="894"/>
      <c r="E37" s="771"/>
      <c r="F37" s="771"/>
      <c r="G37" s="818"/>
      <c r="H37" s="885"/>
      <c r="I37" s="932" t="str">
        <f t="shared" si="1"/>
        <v>2.8.1</v>
      </c>
      <c r="J37" s="932" t="str">
        <f t="shared" si="2"/>
        <v>Расходы на амортизацию основных средств</v>
      </c>
      <c r="K37" s="932">
        <f t="shared" si="3"/>
        <v>0</v>
      </c>
      <c r="L37" s="772" t="str">
        <f t="shared" si="4"/>
        <v>2.8.1</v>
      </c>
      <c r="M37" s="772" t="str">
        <f t="shared" si="5"/>
        <v>Расходы на амортизацию основных средств</v>
      </c>
      <c r="N37" s="772" t="str">
        <f t="shared" si="6"/>
        <v/>
      </c>
      <c r="O37" s="884" t="s">
        <v>2283</v>
      </c>
      <c r="P37" s="884" t="s">
        <v>2266</v>
      </c>
      <c r="Q37" s="884" t="s">
        <v>2283</v>
      </c>
      <c r="R37" s="884" t="s">
        <v>2266</v>
      </c>
      <c r="S37" s="884"/>
      <c r="T37" s="891" t="s">
        <v>2284</v>
      </c>
      <c r="U37" s="774" t="s">
        <v>2284</v>
      </c>
      <c r="V37" s="774" t="s">
        <v>2284</v>
      </c>
      <c r="W37" s="774" t="s">
        <v>2284</v>
      </c>
      <c r="X37" s="771"/>
      <c r="Y37" s="927"/>
      <c r="Z37" s="774"/>
      <c r="AA37" s="777"/>
      <c r="AB37" s="774"/>
      <c r="AC37" s="774"/>
      <c r="AD37" s="774"/>
    </row>
    <row r="38" spans="1:30" ht="18" customHeight="1">
      <c r="A38" s="773"/>
      <c r="B38" s="826">
        <v>21</v>
      </c>
      <c r="C38" s="771" t="s">
        <v>2285</v>
      </c>
      <c r="D38" s="894"/>
      <c r="E38" s="771"/>
      <c r="F38" s="771"/>
      <c r="G38" s="818"/>
      <c r="H38" s="885"/>
      <c r="I38" s="932" t="str">
        <f t="shared" si="1"/>
        <v>2.8.2</v>
      </c>
      <c r="J38" s="932" t="str">
        <f t="shared" si="2"/>
        <v>Расходы на амортизацию нематериальных активов</v>
      </c>
      <c r="K38" s="932">
        <f t="shared" si="3"/>
        <v>0</v>
      </c>
      <c r="L38" s="772" t="str">
        <f t="shared" si="4"/>
        <v>2.8.2</v>
      </c>
      <c r="M38" s="772" t="str">
        <f t="shared" si="5"/>
        <v>Расходы на амортизацию нематериальных активов</v>
      </c>
      <c r="N38" s="772" t="str">
        <f t="shared" si="6"/>
        <v/>
      </c>
      <c r="O38" s="884" t="s">
        <v>2286</v>
      </c>
      <c r="P38" s="884" t="s">
        <v>2269</v>
      </c>
      <c r="Q38" s="884" t="s">
        <v>2286</v>
      </c>
      <c r="R38" s="884" t="s">
        <v>2269</v>
      </c>
      <c r="S38" s="884"/>
      <c r="T38" s="891" t="s">
        <v>2287</v>
      </c>
      <c r="U38" s="774" t="s">
        <v>2287</v>
      </c>
      <c r="V38" s="774" t="s">
        <v>2287</v>
      </c>
      <c r="W38" s="774" t="s">
        <v>2287</v>
      </c>
      <c r="X38" s="771"/>
      <c r="Y38" s="927"/>
      <c r="Z38" s="774"/>
      <c r="AA38" s="777"/>
      <c r="AB38" s="774"/>
      <c r="AC38" s="774"/>
      <c r="AD38" s="774"/>
    </row>
    <row r="39" spans="1:30" ht="36" customHeight="1">
      <c r="A39" s="773"/>
      <c r="B39" s="826">
        <v>22</v>
      </c>
      <c r="C39" s="771">
        <v>12</v>
      </c>
      <c r="D39" s="894"/>
      <c r="E39" s="771"/>
      <c r="F39" s="771"/>
      <c r="G39" s="818"/>
      <c r="H39" s="885"/>
      <c r="I39" s="932" t="str">
        <f t="shared" si="1"/>
        <v>2.9</v>
      </c>
      <c r="J39" s="932" t="str">
        <f t="shared" si="2"/>
        <v>Расходы на аренду имущества, используемого для осуществления регулируемого вида деятельности</v>
      </c>
      <c r="K39" s="932">
        <f t="shared" si="3"/>
        <v>0</v>
      </c>
      <c r="L39" s="772" t="str">
        <f t="shared" si="4"/>
        <v>2.9</v>
      </c>
      <c r="M39" s="772" t="str">
        <f t="shared" si="5"/>
        <v>Расходы на аренду имущества, используемого для осуществления регулируемого вида деятельности</v>
      </c>
      <c r="N39" s="772" t="str">
        <f t="shared" si="6"/>
        <v/>
      </c>
      <c r="O39" s="884" t="s">
        <v>954</v>
      </c>
      <c r="P39" s="884" t="s">
        <v>948</v>
      </c>
      <c r="Q39" s="884" t="s">
        <v>954</v>
      </c>
      <c r="R39" s="884" t="s">
        <v>948</v>
      </c>
      <c r="S39" s="884"/>
      <c r="T39" s="891" t="s">
        <v>2288</v>
      </c>
      <c r="U39" s="774" t="s">
        <v>2289</v>
      </c>
      <c r="V39" s="774" t="s">
        <v>2290</v>
      </c>
      <c r="W39" s="774" t="s">
        <v>2291</v>
      </c>
      <c r="X39" s="771"/>
      <c r="Y39" s="927"/>
      <c r="Z39" s="774"/>
      <c r="AA39" s="777"/>
      <c r="AB39" s="774"/>
      <c r="AC39" s="774"/>
      <c r="AD39" s="774"/>
    </row>
    <row r="40" spans="1:30" ht="18" customHeight="1">
      <c r="A40" s="773"/>
      <c r="B40" s="826">
        <v>23</v>
      </c>
      <c r="C40" s="771">
        <v>13</v>
      </c>
      <c r="D40" s="894"/>
      <c r="E40" s="771"/>
      <c r="F40" s="771"/>
      <c r="G40" s="771"/>
      <c r="H40" s="821"/>
      <c r="I40" s="932" t="str">
        <f t="shared" si="1"/>
        <v>2.10</v>
      </c>
      <c r="J40" s="932" t="str">
        <f t="shared" si="2"/>
        <v>Общепроизводственные расходы, в том числе:</v>
      </c>
      <c r="K40" s="932"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4" t="s">
        <v>2292</v>
      </c>
      <c r="P40" s="884" t="s">
        <v>950</v>
      </c>
      <c r="Q40" s="884" t="s">
        <v>2292</v>
      </c>
      <c r="R40" s="884" t="s">
        <v>950</v>
      </c>
      <c r="S40" s="884"/>
      <c r="T40" s="771" t="s">
        <v>2293</v>
      </c>
      <c r="U40" s="771" t="s">
        <v>2293</v>
      </c>
      <c r="V40" s="771" t="s">
        <v>2293</v>
      </c>
      <c r="W40" s="771" t="s">
        <v>2293</v>
      </c>
      <c r="X40" s="771"/>
      <c r="Y40" s="927"/>
      <c r="Z40" s="774" t="s">
        <v>2294</v>
      </c>
      <c r="AA40" s="777" t="s">
        <v>2294</v>
      </c>
      <c r="AB40" s="777" t="s">
        <v>2294</v>
      </c>
      <c r="AC40" s="777" t="s">
        <v>2294</v>
      </c>
      <c r="AD40" s="774"/>
    </row>
    <row r="41" spans="1:30" ht="27" customHeight="1">
      <c r="A41" s="773"/>
      <c r="B41" s="826">
        <v>24</v>
      </c>
      <c r="C41" s="771" t="s">
        <v>2295</v>
      </c>
      <c r="D41" s="894"/>
      <c r="E41" s="771"/>
      <c r="F41" s="771"/>
      <c r="G41" s="771"/>
      <c r="H41" s="818"/>
      <c r="I41" s="932" t="str">
        <f t="shared" si="1"/>
        <v>2.10.1</v>
      </c>
      <c r="J41" s="932" t="str">
        <f t="shared" si="2"/>
        <v>Расходы на текущий ремонт</v>
      </c>
      <c r="K41" s="932"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4" t="s">
        <v>2296</v>
      </c>
      <c r="P41" s="884" t="s">
        <v>2283</v>
      </c>
      <c r="Q41" s="884" t="s">
        <v>2296</v>
      </c>
      <c r="R41" s="884" t="s">
        <v>2283</v>
      </c>
      <c r="S41" s="884"/>
      <c r="T41" s="771" t="s">
        <v>2297</v>
      </c>
      <c r="U41" s="771" t="s">
        <v>2297</v>
      </c>
      <c r="V41" s="771" t="s">
        <v>2297</v>
      </c>
      <c r="W41" s="771" t="s">
        <v>2297</v>
      </c>
      <c r="X41" s="771"/>
      <c r="Y41" s="927"/>
      <c r="Z41" s="774" t="s">
        <v>2298</v>
      </c>
      <c r="AA41" s="774" t="s">
        <v>2298</v>
      </c>
      <c r="AB41" s="774" t="s">
        <v>2298</v>
      </c>
      <c r="AC41" s="774" t="s">
        <v>2298</v>
      </c>
      <c r="AD41" s="774"/>
    </row>
    <row r="42" spans="1:30" ht="27" customHeight="1">
      <c r="A42" s="773"/>
      <c r="B42" s="826">
        <v>25</v>
      </c>
      <c r="C42" s="771" t="s">
        <v>2299</v>
      </c>
      <c r="D42" s="894"/>
      <c r="E42" s="771"/>
      <c r="F42" s="771"/>
      <c r="G42" s="771"/>
      <c r="H42" s="818"/>
      <c r="I42" s="932" t="str">
        <f t="shared" si="1"/>
        <v>2.10.2</v>
      </c>
      <c r="J42" s="932" t="str">
        <f t="shared" si="2"/>
        <v>Расходы на капитальный ремонт</v>
      </c>
      <c r="K42" s="932"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4" t="s">
        <v>2300</v>
      </c>
      <c r="P42" s="884" t="s">
        <v>2286</v>
      </c>
      <c r="Q42" s="884" t="s">
        <v>2300</v>
      </c>
      <c r="R42" s="884" t="s">
        <v>2286</v>
      </c>
      <c r="S42" s="884"/>
      <c r="T42" s="771" t="s">
        <v>2301</v>
      </c>
      <c r="U42" s="771" t="s">
        <v>2301</v>
      </c>
      <c r="V42" s="771" t="s">
        <v>2301</v>
      </c>
      <c r="W42" s="771" t="s">
        <v>2301</v>
      </c>
      <c r="X42" s="771"/>
      <c r="Y42" s="927"/>
      <c r="Z42" s="774" t="s">
        <v>2302</v>
      </c>
      <c r="AA42" s="774" t="s">
        <v>2302</v>
      </c>
      <c r="AB42" s="774" t="s">
        <v>2302</v>
      </c>
      <c r="AC42" s="774" t="s">
        <v>2302</v>
      </c>
      <c r="AD42" s="774"/>
    </row>
    <row r="43" spans="1:30" ht="18" customHeight="1">
      <c r="A43" s="773"/>
      <c r="B43" s="826">
        <v>26</v>
      </c>
      <c r="C43" s="771">
        <v>14</v>
      </c>
      <c r="D43" s="894"/>
      <c r="E43" s="771"/>
      <c r="F43" s="771"/>
      <c r="G43" s="771"/>
      <c r="H43" s="818"/>
      <c r="I43" s="932" t="str">
        <f t="shared" si="1"/>
        <v>2.11</v>
      </c>
      <c r="J43" s="932" t="str">
        <f t="shared" si="2"/>
        <v>Общехозяйственные расходы, в том числе:</v>
      </c>
      <c r="K43" s="932"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4" t="s">
        <v>2303</v>
      </c>
      <c r="P43" s="884" t="s">
        <v>954</v>
      </c>
      <c r="Q43" s="884" t="s">
        <v>2303</v>
      </c>
      <c r="R43" s="884" t="s">
        <v>954</v>
      </c>
      <c r="S43" s="884"/>
      <c r="T43" s="771" t="s">
        <v>2304</v>
      </c>
      <c r="U43" s="771" t="s">
        <v>2304</v>
      </c>
      <c r="V43" s="771" t="s">
        <v>2304</v>
      </c>
      <c r="W43" s="771" t="s">
        <v>2304</v>
      </c>
      <c r="X43" s="771"/>
      <c r="Y43" s="927"/>
      <c r="Z43" s="774" t="s">
        <v>2305</v>
      </c>
      <c r="AA43" s="774" t="s">
        <v>2305</v>
      </c>
      <c r="AB43" s="774" t="s">
        <v>2305</v>
      </c>
      <c r="AC43" s="774" t="s">
        <v>2305</v>
      </c>
      <c r="AD43" s="774"/>
    </row>
    <row r="44" spans="1:30" ht="27" customHeight="1">
      <c r="A44" s="773"/>
      <c r="B44" s="826">
        <v>27</v>
      </c>
      <c r="C44" s="771" t="s">
        <v>2306</v>
      </c>
      <c r="D44" s="894"/>
      <c r="E44" s="771"/>
      <c r="F44" s="771"/>
      <c r="G44" s="771"/>
      <c r="H44" s="818"/>
      <c r="I44" s="932" t="str">
        <f t="shared" si="1"/>
        <v>2.11.1</v>
      </c>
      <c r="J44" s="932" t="str">
        <f t="shared" si="2"/>
        <v>Расходы на текущий ремонт</v>
      </c>
      <c r="K44" s="932"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4" t="s">
        <v>2307</v>
      </c>
      <c r="P44" s="884" t="s">
        <v>2308</v>
      </c>
      <c r="Q44" s="884" t="s">
        <v>2307</v>
      </c>
      <c r="R44" s="884" t="s">
        <v>2308</v>
      </c>
      <c r="S44" s="884"/>
      <c r="T44" s="771" t="s">
        <v>2297</v>
      </c>
      <c r="U44" s="771" t="s">
        <v>2297</v>
      </c>
      <c r="V44" s="771" t="s">
        <v>2297</v>
      </c>
      <c r="W44" s="771" t="s">
        <v>2297</v>
      </c>
      <c r="X44" s="771"/>
      <c r="Y44" s="927"/>
      <c r="Z44" s="774" t="s">
        <v>2309</v>
      </c>
      <c r="AA44" s="774" t="s">
        <v>2309</v>
      </c>
      <c r="AB44" s="774" t="s">
        <v>2309</v>
      </c>
      <c r="AC44" s="774" t="s">
        <v>2309</v>
      </c>
      <c r="AD44" s="774"/>
    </row>
    <row r="45" spans="1:30" ht="27" customHeight="1">
      <c r="A45" s="773"/>
      <c r="B45" s="826">
        <v>28</v>
      </c>
      <c r="C45" s="771" t="s">
        <v>2310</v>
      </c>
      <c r="D45" s="894"/>
      <c r="E45" s="771"/>
      <c r="F45" s="771"/>
      <c r="G45" s="771"/>
      <c r="H45" s="818"/>
      <c r="I45" s="932" t="str">
        <f t="shared" si="1"/>
        <v>2.11.2</v>
      </c>
      <c r="J45" s="932" t="str">
        <f t="shared" si="2"/>
        <v>Расходы на капитальный ремонт</v>
      </c>
      <c r="K45" s="932"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4" t="s">
        <v>2311</v>
      </c>
      <c r="P45" s="884" t="s">
        <v>2312</v>
      </c>
      <c r="Q45" s="884" t="s">
        <v>2311</v>
      </c>
      <c r="R45" s="884" t="s">
        <v>2312</v>
      </c>
      <c r="S45" s="884"/>
      <c r="T45" s="771" t="s">
        <v>2301</v>
      </c>
      <c r="U45" s="771" t="s">
        <v>2301</v>
      </c>
      <c r="V45" s="771" t="s">
        <v>2301</v>
      </c>
      <c r="W45" s="771" t="s">
        <v>2301</v>
      </c>
      <c r="X45" s="771"/>
      <c r="Y45" s="927"/>
      <c r="Z45" s="774" t="s">
        <v>2313</v>
      </c>
      <c r="AA45" s="774" t="s">
        <v>2313</v>
      </c>
      <c r="AB45" s="774" t="s">
        <v>2313</v>
      </c>
      <c r="AC45" s="774" t="s">
        <v>2313</v>
      </c>
      <c r="AD45" s="774"/>
    </row>
    <row r="46" spans="1:30" ht="54" customHeight="1">
      <c r="A46" s="773"/>
      <c r="B46" s="826">
        <v>29</v>
      </c>
      <c r="C46" s="771">
        <v>15</v>
      </c>
      <c r="D46" s="894"/>
      <c r="E46" s="771"/>
      <c r="F46" s="771"/>
      <c r="G46" s="771"/>
      <c r="H46" s="818"/>
      <c r="I46" s="932" t="str">
        <f t="shared" si="1"/>
        <v>2.12</v>
      </c>
      <c r="J46" s="932" t="str">
        <f t="shared" si="2"/>
        <v>Расходы на капитальный и текущий ремонт основных средств</v>
      </c>
      <c r="K46" s="93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4" t="s">
        <v>2314</v>
      </c>
      <c r="P46" s="884" t="s">
        <v>2292</v>
      </c>
      <c r="Q46" s="884" t="s">
        <v>2314</v>
      </c>
      <c r="R46" s="884" t="s">
        <v>2292</v>
      </c>
      <c r="S46" s="884"/>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1" t="s">
        <v>2315</v>
      </c>
      <c r="V46" s="771" t="s">
        <v>2315</v>
      </c>
      <c r="W46" s="771" t="s">
        <v>2315</v>
      </c>
      <c r="X46" s="771"/>
      <c r="Y46" s="927"/>
      <c r="Z46" s="774" t="s">
        <v>2316</v>
      </c>
      <c r="AA46" s="774" t="s">
        <v>2317</v>
      </c>
      <c r="AB46" s="774" t="s">
        <v>2317</v>
      </c>
      <c r="AC46" s="774" t="s">
        <v>2317</v>
      </c>
      <c r="AD46" s="774"/>
    </row>
    <row r="47" spans="1:30" ht="54" customHeight="1">
      <c r="A47" s="773"/>
      <c r="B47" s="826">
        <v>30</v>
      </c>
      <c r="C47" s="771" t="s">
        <v>2318</v>
      </c>
      <c r="D47" s="894"/>
      <c r="E47" s="771"/>
      <c r="F47" s="771"/>
      <c r="G47" s="771"/>
      <c r="H47" s="818"/>
      <c r="I47" s="932" t="str">
        <f t="shared" si="1"/>
        <v>2.12.1</v>
      </c>
      <c r="J47" s="93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2">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4" t="s">
        <v>2319</v>
      </c>
      <c r="P47" s="884" t="s">
        <v>2296</v>
      </c>
      <c r="Q47" s="884" t="s">
        <v>2319</v>
      </c>
      <c r="R47" s="884" t="s">
        <v>2296</v>
      </c>
      <c r="S47" s="884"/>
      <c r="T47" s="771" t="s">
        <v>2320</v>
      </c>
      <c r="U47" s="771" t="s">
        <v>2320</v>
      </c>
      <c r="V47" s="771" t="s">
        <v>2320</v>
      </c>
      <c r="W47" s="771" t="s">
        <v>2320</v>
      </c>
      <c r="X47" s="771"/>
      <c r="Y47" s="927"/>
      <c r="Z47" s="774"/>
      <c r="AA47" s="777"/>
      <c r="AB47" s="777"/>
      <c r="AC47" s="777"/>
      <c r="AD47" s="774"/>
    </row>
    <row r="48" spans="1:30" ht="54" customHeight="1">
      <c r="A48" s="773"/>
      <c r="B48" s="826">
        <v>31</v>
      </c>
      <c r="C48" s="771">
        <v>16</v>
      </c>
      <c r="D48" s="894"/>
      <c r="E48" s="771"/>
      <c r="F48" s="771"/>
      <c r="G48" s="771"/>
      <c r="H48" s="818"/>
      <c r="I48" s="932">
        <f t="shared" si="1"/>
        <v>0</v>
      </c>
      <c r="J48" s="932">
        <f t="shared" si="2"/>
        <v>0</v>
      </c>
      <c r="K48" s="932">
        <f t="shared" si="3"/>
        <v>0</v>
      </c>
      <c r="L48" s="772" t="str">
        <f t="shared" si="4"/>
        <v/>
      </c>
      <c r="M48" s="772" t="str">
        <f t="shared" si="5"/>
        <v/>
      </c>
      <c r="N48" s="772" t="str">
        <f t="shared" si="6"/>
        <v/>
      </c>
      <c r="O48" s="884"/>
      <c r="P48" s="884" t="s">
        <v>2303</v>
      </c>
      <c r="Q48" s="884" t="s">
        <v>2321</v>
      </c>
      <c r="R48" s="884" t="s">
        <v>2303</v>
      </c>
      <c r="S48" s="884"/>
      <c r="T48" s="771"/>
      <c r="U48" s="771" t="s">
        <v>2322</v>
      </c>
      <c r="V48" s="771" t="s">
        <v>2323</v>
      </c>
      <c r="W48" s="771" t="s">
        <v>2323</v>
      </c>
      <c r="X48" s="771"/>
      <c r="Y48" s="927"/>
      <c r="Z48" s="774"/>
      <c r="AA48" s="777" t="s">
        <v>2317</v>
      </c>
      <c r="AB48" s="777" t="s">
        <v>2317</v>
      </c>
      <c r="AC48" s="777" t="s">
        <v>2317</v>
      </c>
      <c r="AD48" s="774"/>
    </row>
    <row r="49" spans="1:30" ht="54" customHeight="1">
      <c r="A49" s="773"/>
      <c r="B49" s="826">
        <v>32</v>
      </c>
      <c r="C49" s="771" t="s">
        <v>2324</v>
      </c>
      <c r="D49" s="894"/>
      <c r="E49" s="771"/>
      <c r="F49" s="771"/>
      <c r="G49" s="771"/>
      <c r="H49" s="818"/>
      <c r="I49" s="932">
        <f t="shared" si="1"/>
        <v>0</v>
      </c>
      <c r="J49" s="932">
        <f t="shared" si="2"/>
        <v>0</v>
      </c>
      <c r="K49" s="932">
        <f t="shared" si="3"/>
        <v>0</v>
      </c>
      <c r="L49" s="772" t="str">
        <f t="shared" si="4"/>
        <v/>
      </c>
      <c r="M49" s="772" t="str">
        <f t="shared" si="5"/>
        <v/>
      </c>
      <c r="N49" s="772" t="str">
        <f t="shared" si="6"/>
        <v/>
      </c>
      <c r="O49" s="884"/>
      <c r="P49" s="884" t="s">
        <v>2307</v>
      </c>
      <c r="Q49" s="884" t="s">
        <v>2325</v>
      </c>
      <c r="R49" s="884" t="s">
        <v>2307</v>
      </c>
      <c r="S49" s="884"/>
      <c r="T49" s="771"/>
      <c r="U49" s="771" t="s">
        <v>2320</v>
      </c>
      <c r="V49" s="771" t="s">
        <v>2320</v>
      </c>
      <c r="W49" s="771" t="s">
        <v>2320</v>
      </c>
      <c r="X49" s="771"/>
      <c r="Y49" s="927"/>
      <c r="Z49" s="774"/>
      <c r="AA49" s="777"/>
      <c r="AB49" s="777"/>
      <c r="AC49" s="777"/>
      <c r="AD49" s="774"/>
    </row>
    <row r="50" spans="1:30" ht="126" customHeight="1">
      <c r="A50" s="773"/>
      <c r="B50" s="826">
        <v>33</v>
      </c>
      <c r="C50" s="771">
        <v>17</v>
      </c>
      <c r="D50" s="894"/>
      <c r="E50" s="771"/>
      <c r="F50" s="771"/>
      <c r="G50" s="771"/>
      <c r="H50" s="818"/>
      <c r="I50" s="932" t="str">
        <f t="shared" ref="I50:I81" si="7">INDEX(TEMPLATE_NUMBER_POINT_FHD,B50,MATCH(TEMPLATE_SPHERE,TEMPLATE_SPHERE_LIST_FOR_NOTE,0))</f>
        <v>2.13</v>
      </c>
      <c r="J50" s="93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2" t="str">
        <f t="shared" ref="L50:L81" si="10">IF(I50=0,"",I50)</f>
        <v>2.13</v>
      </c>
      <c r="M50" s="772"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2"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4" t="s">
        <v>2321</v>
      </c>
      <c r="P50" s="884" t="s">
        <v>2314</v>
      </c>
      <c r="Q50" s="884" t="s">
        <v>2326</v>
      </c>
      <c r="R50" s="884" t="s">
        <v>2314</v>
      </c>
      <c r="S50" s="884"/>
      <c r="T50" s="771" t="s">
        <v>2327</v>
      </c>
      <c r="U50" s="771" t="s">
        <v>2328</v>
      </c>
      <c r="V50" s="771" t="s">
        <v>2329</v>
      </c>
      <c r="W50" s="771" t="s">
        <v>2330</v>
      </c>
      <c r="X50" s="771"/>
      <c r="Y50" s="927"/>
      <c r="Z50" s="774" t="s">
        <v>2331</v>
      </c>
      <c r="AA50" s="777" t="s">
        <v>2332</v>
      </c>
      <c r="AB50" s="777" t="s">
        <v>2332</v>
      </c>
      <c r="AC50" s="777" t="s">
        <v>2332</v>
      </c>
      <c r="AD50" s="774"/>
    </row>
    <row r="51" spans="1:30" ht="27" customHeight="1">
      <c r="A51" s="773"/>
      <c r="B51" s="826">
        <v>34</v>
      </c>
      <c r="C51" s="771" t="s">
        <v>2333</v>
      </c>
      <c r="D51" s="894"/>
      <c r="E51" s="771"/>
      <c r="F51" s="771"/>
      <c r="G51" s="771"/>
      <c r="H51" s="818"/>
      <c r="I51" s="932" t="str">
        <f t="shared" si="7"/>
        <v>3</v>
      </c>
      <c r="J51" s="932" t="str">
        <f t="shared" si="8"/>
        <v>Валовая прибыль (убытки) от реализации товаров и оказания услуг по регулируемому виду деятельности</v>
      </c>
      <c r="K51" s="932">
        <f t="shared" si="9"/>
        <v>0</v>
      </c>
      <c r="L51" s="772" t="str">
        <f t="shared" si="10"/>
        <v>3</v>
      </c>
      <c r="M51" s="772" t="str">
        <f t="shared" si="11"/>
        <v>Валовая прибыль (убытки) от реализации товаров и оказания услуг по регулируемому виду деятельности</v>
      </c>
      <c r="N51" s="772" t="str">
        <f t="shared" si="12"/>
        <v/>
      </c>
      <c r="O51" s="884" t="s">
        <v>77</v>
      </c>
      <c r="P51" s="884"/>
      <c r="Q51" s="884"/>
      <c r="R51" s="884"/>
      <c r="S51" s="884"/>
      <c r="T51" s="771" t="s">
        <v>2334</v>
      </c>
      <c r="U51" s="771"/>
      <c r="V51" s="771"/>
      <c r="W51" s="771"/>
      <c r="X51" s="771"/>
      <c r="Y51" s="927"/>
      <c r="Z51" s="774"/>
      <c r="AA51" s="777"/>
      <c r="AB51" s="777"/>
      <c r="AC51" s="777"/>
      <c r="AD51" s="774"/>
    </row>
    <row r="52" spans="1:30" ht="36" customHeight="1">
      <c r="A52" s="773"/>
      <c r="B52" s="826">
        <v>35</v>
      </c>
      <c r="C52" s="771" t="s">
        <v>2227</v>
      </c>
      <c r="D52" s="894" t="s">
        <v>2227</v>
      </c>
      <c r="E52" s="771" t="s">
        <v>2227</v>
      </c>
      <c r="F52" s="771" t="s">
        <v>2227</v>
      </c>
      <c r="G52" s="771"/>
      <c r="H52" s="818"/>
      <c r="I52" s="932" t="str">
        <f t="shared" si="7"/>
        <v>4</v>
      </c>
      <c r="J52" s="932" t="str">
        <f t="shared" si="8"/>
        <v>Чистая прибыль, полученная от регулируемого вида деятельности, в том числе:</v>
      </c>
      <c r="K52" s="932" t="str">
        <f t="shared" si="9"/>
        <v>Указывается общая сумма чистой прибыли, полученной от регулируемого вида деятельности.</v>
      </c>
      <c r="L52" s="772" t="str">
        <f t="shared" si="10"/>
        <v>4</v>
      </c>
      <c r="M52" s="772" t="str">
        <f t="shared" si="11"/>
        <v>Чистая прибыль, полученная от регулируемого вида деятельности, в том числе:</v>
      </c>
      <c r="N52" s="772" t="str">
        <f t="shared" si="12"/>
        <v>Указывается общая сумма чистой прибыли, полученной от регулируемого вида деятельности.</v>
      </c>
      <c r="O52" s="884" t="s">
        <v>78</v>
      </c>
      <c r="P52" s="884" t="s">
        <v>77</v>
      </c>
      <c r="Q52" s="884" t="s">
        <v>77</v>
      </c>
      <c r="R52" s="884" t="s">
        <v>77</v>
      </c>
      <c r="S52" s="884"/>
      <c r="T52" s="771" t="s">
        <v>2335</v>
      </c>
      <c r="U52" s="771" t="s">
        <v>2336</v>
      </c>
      <c r="V52" s="771" t="s">
        <v>2337</v>
      </c>
      <c r="W52" s="771" t="s">
        <v>2338</v>
      </c>
      <c r="X52" s="771"/>
      <c r="Y52" s="927"/>
      <c r="Z52" s="774" t="s">
        <v>958</v>
      </c>
      <c r="AA52" s="777" t="s">
        <v>958</v>
      </c>
      <c r="AB52" s="777" t="s">
        <v>958</v>
      </c>
      <c r="AC52" s="777" t="s">
        <v>958</v>
      </c>
      <c r="AD52" s="774"/>
    </row>
    <row r="53" spans="1:30" ht="36" customHeight="1">
      <c r="A53" s="773"/>
      <c r="B53" s="826">
        <v>36</v>
      </c>
      <c r="C53" s="771">
        <v>1</v>
      </c>
      <c r="D53" s="894"/>
      <c r="E53" s="771"/>
      <c r="F53" s="771"/>
      <c r="G53" s="771"/>
      <c r="H53" s="818"/>
      <c r="I53" s="932" t="str">
        <f t="shared" si="7"/>
        <v>4.1</v>
      </c>
      <c r="J53" s="93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2">
        <f t="shared" si="9"/>
        <v>0</v>
      </c>
      <c r="L53" s="772" t="str">
        <f t="shared" si="10"/>
        <v>4.1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4" t="s">
        <v>962</v>
      </c>
      <c r="P53" s="884" t="s">
        <v>532</v>
      </c>
      <c r="Q53" s="884" t="s">
        <v>532</v>
      </c>
      <c r="R53" s="884" t="s">
        <v>532</v>
      </c>
      <c r="S53" s="884"/>
      <c r="T53" s="771" t="s">
        <v>2339</v>
      </c>
      <c r="U53" s="771" t="s">
        <v>2339</v>
      </c>
      <c r="V53" s="771" t="s">
        <v>2339</v>
      </c>
      <c r="W53" s="771" t="s">
        <v>2339</v>
      </c>
      <c r="X53" s="771"/>
      <c r="Y53" s="927"/>
      <c r="Z53" s="774"/>
      <c r="AA53" s="777"/>
      <c r="AB53" s="774"/>
      <c r="AC53" s="774"/>
      <c r="AD53" s="774"/>
    </row>
    <row r="54" spans="1:30" ht="18" customHeight="1">
      <c r="A54" s="773"/>
      <c r="B54" s="826">
        <v>37</v>
      </c>
      <c r="C54" s="771" t="s">
        <v>2233</v>
      </c>
      <c r="D54" s="894" t="s">
        <v>2233</v>
      </c>
      <c r="E54" s="771" t="s">
        <v>2233</v>
      </c>
      <c r="F54" s="771" t="s">
        <v>2233</v>
      </c>
      <c r="G54" s="771"/>
      <c r="H54" s="818"/>
      <c r="I54" s="932" t="str">
        <f t="shared" si="7"/>
        <v>5</v>
      </c>
      <c r="J54" s="932" t="str">
        <f t="shared" si="8"/>
        <v>Изменение стоимости основных фондов, в том числе:</v>
      </c>
      <c r="K54" s="932" t="str">
        <f t="shared" si="9"/>
        <v>Указывается общее изменение стоимости основных фондов.</v>
      </c>
      <c r="L54" s="772" t="str">
        <f t="shared" si="10"/>
        <v>5</v>
      </c>
      <c r="M54" s="772" t="str">
        <f t="shared" si="11"/>
        <v>Изменение стоимости основных фондов, в том числе:</v>
      </c>
      <c r="N54" s="772" t="str">
        <f t="shared" si="12"/>
        <v>Указывается общее изменение стоимости основных фондов.</v>
      </c>
      <c r="O54" s="884" t="s">
        <v>115</v>
      </c>
      <c r="P54" s="884" t="s">
        <v>78</v>
      </c>
      <c r="Q54" s="884" t="s">
        <v>78</v>
      </c>
      <c r="R54" s="884" t="s">
        <v>78</v>
      </c>
      <c r="S54" s="884"/>
      <c r="T54" s="771" t="s">
        <v>960</v>
      </c>
      <c r="U54" s="771" t="s">
        <v>960</v>
      </c>
      <c r="V54" s="771" t="s">
        <v>960</v>
      </c>
      <c r="W54" s="771" t="s">
        <v>960</v>
      </c>
      <c r="X54" s="771"/>
      <c r="Y54" s="927"/>
      <c r="Z54" s="774" t="s">
        <v>961</v>
      </c>
      <c r="AA54" s="774" t="s">
        <v>961</v>
      </c>
      <c r="AB54" s="774" t="s">
        <v>961</v>
      </c>
      <c r="AC54" s="774" t="s">
        <v>961</v>
      </c>
      <c r="AD54" s="774"/>
    </row>
    <row r="55" spans="1:30" ht="36" customHeight="1">
      <c r="A55" s="773"/>
      <c r="B55" s="826">
        <v>38</v>
      </c>
      <c r="C55" s="771">
        <v>1</v>
      </c>
      <c r="D55" s="894"/>
      <c r="E55" s="771"/>
      <c r="F55" s="771"/>
      <c r="G55" s="771"/>
      <c r="H55" s="818"/>
      <c r="I55" s="932" t="str">
        <f t="shared" si="7"/>
        <v>5.1</v>
      </c>
      <c r="J55" s="932" t="str">
        <f t="shared" si="8"/>
        <v>Изменение стоимости основных фондов за счет:</v>
      </c>
      <c r="K55" s="932" t="str">
        <f t="shared" si="9"/>
        <v>Указываются общее изменение стоимости основных фондов за счет их ввода в эксплуатацию и вывода из эксплуатации.</v>
      </c>
      <c r="L55" s="772" t="str">
        <f t="shared" si="10"/>
        <v>5.1</v>
      </c>
      <c r="M55" s="772" t="str">
        <f t="shared" si="11"/>
        <v>Изменение стоимости основных фондов за счет:</v>
      </c>
      <c r="N55" s="772" t="str">
        <f t="shared" si="12"/>
        <v>Указываются общее изменение стоимости основных фондов за счет их ввода в эксплуатацию и вывода из эксплуатации.</v>
      </c>
      <c r="O55" s="884" t="s">
        <v>521</v>
      </c>
      <c r="P55" s="884" t="s">
        <v>962</v>
      </c>
      <c r="Q55" s="884" t="s">
        <v>962</v>
      </c>
      <c r="R55" s="884" t="s">
        <v>962</v>
      </c>
      <c r="S55" s="884"/>
      <c r="T55" s="77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1" t="s">
        <v>2340</v>
      </c>
      <c r="V55" s="771" t="s">
        <v>2340</v>
      </c>
      <c r="W55" s="771" t="s">
        <v>2340</v>
      </c>
      <c r="X55" s="771"/>
      <c r="Y55" s="927"/>
      <c r="Z55" s="774" t="s">
        <v>2341</v>
      </c>
      <c r="AA55" s="774" t="s">
        <v>2341</v>
      </c>
      <c r="AB55" s="774" t="s">
        <v>2341</v>
      </c>
      <c r="AC55" s="774" t="s">
        <v>2341</v>
      </c>
      <c r="AD55" s="774"/>
    </row>
    <row r="56" spans="1:30" ht="27" customHeight="1">
      <c r="A56" s="773"/>
      <c r="B56" s="826">
        <v>39</v>
      </c>
      <c r="C56" s="771" t="s">
        <v>1230</v>
      </c>
      <c r="D56" s="894"/>
      <c r="E56" s="771"/>
      <c r="F56" s="771"/>
      <c r="G56" s="771"/>
      <c r="H56" s="818"/>
      <c r="I56" s="932" t="str">
        <f t="shared" si="7"/>
        <v>5.1.1</v>
      </c>
      <c r="J56" s="932" t="str">
        <f t="shared" si="8"/>
        <v>Изменения стоимости основных фондов за счет их ввода в эксплуатацию</v>
      </c>
      <c r="K56" s="932" t="str">
        <f t="shared" si="9"/>
        <v>Указываются изменение стоимости основных фондов за счет их ввода в эксплуатацию.</v>
      </c>
      <c r="L56" s="772" t="str">
        <f t="shared" si="10"/>
        <v>5.1.1</v>
      </c>
      <c r="M56" s="772" t="str">
        <f t="shared" si="11"/>
        <v>Изменения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4" t="s">
        <v>1347</v>
      </c>
      <c r="P56" s="884" t="s">
        <v>965</v>
      </c>
      <c r="Q56" s="884" t="s">
        <v>965</v>
      </c>
      <c r="R56" s="884" t="s">
        <v>965</v>
      </c>
      <c r="S56" s="884"/>
      <c r="T56" s="77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1" t="s">
        <v>2342</v>
      </c>
      <c r="V56" s="771" t="s">
        <v>2342</v>
      </c>
      <c r="W56" s="771" t="s">
        <v>2342</v>
      </c>
      <c r="X56" s="771"/>
      <c r="Y56" s="927"/>
      <c r="Z56" s="774" t="s">
        <v>967</v>
      </c>
      <c r="AA56" s="774" t="s">
        <v>967</v>
      </c>
      <c r="AB56" s="774" t="s">
        <v>967</v>
      </c>
      <c r="AC56" s="774" t="s">
        <v>967</v>
      </c>
      <c r="AD56" s="774"/>
    </row>
    <row r="57" spans="1:30" ht="27" customHeight="1">
      <c r="A57" s="773"/>
      <c r="B57" s="826">
        <v>40</v>
      </c>
      <c r="C57" s="771" t="s">
        <v>1232</v>
      </c>
      <c r="D57" s="894"/>
      <c r="E57" s="771"/>
      <c r="F57" s="771"/>
      <c r="G57" s="771"/>
      <c r="H57" s="818"/>
      <c r="I57" s="932" t="str">
        <f t="shared" si="7"/>
        <v>5.1.2</v>
      </c>
      <c r="J57" s="932" t="str">
        <f t="shared" si="8"/>
        <v>Изменения стоимости основных фондов за счет их вывода в эксплуатацию</v>
      </c>
      <c r="K57" s="932" t="str">
        <f t="shared" si="9"/>
        <v>Указываются изменение стоимости основных фондов за счет их вывода из эксплуатации.</v>
      </c>
      <c r="L57" s="772" t="str">
        <f t="shared" si="10"/>
        <v>5.1.2</v>
      </c>
      <c r="M57" s="772" t="str">
        <f t="shared" si="11"/>
        <v>Изменения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4" t="s">
        <v>2343</v>
      </c>
      <c r="P57" s="884" t="s">
        <v>968</v>
      </c>
      <c r="Q57" s="884" t="s">
        <v>968</v>
      </c>
      <c r="R57" s="884" t="s">
        <v>968</v>
      </c>
      <c r="S57" s="884"/>
      <c r="T57" s="77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1" t="s">
        <v>2344</v>
      </c>
      <c r="V57" s="771" t="s">
        <v>2344</v>
      </c>
      <c r="W57" s="771" t="s">
        <v>2344</v>
      </c>
      <c r="X57" s="771"/>
      <c r="Y57" s="927"/>
      <c r="Z57" s="774" t="s">
        <v>970</v>
      </c>
      <c r="AA57" s="774" t="s">
        <v>970</v>
      </c>
      <c r="AB57" s="774" t="s">
        <v>970</v>
      </c>
      <c r="AC57" s="774" t="s">
        <v>970</v>
      </c>
      <c r="AD57" s="774"/>
    </row>
    <row r="58" spans="1:30" ht="18" customHeight="1">
      <c r="A58" s="773"/>
      <c r="B58" s="826">
        <v>41</v>
      </c>
      <c r="C58" s="771">
        <v>2</v>
      </c>
      <c r="D58" s="894"/>
      <c r="E58" s="771"/>
      <c r="F58" s="771"/>
      <c r="G58" s="771"/>
      <c r="H58" s="818"/>
      <c r="I58" s="932" t="str">
        <f t="shared" si="7"/>
        <v>5.2</v>
      </c>
      <c r="J58" s="932" t="str">
        <f t="shared" si="8"/>
        <v>Изменение стоимости основных фондов за счет их переоценки</v>
      </c>
      <c r="K58" s="932">
        <f t="shared" si="9"/>
        <v>0</v>
      </c>
      <c r="L58" s="772" t="str">
        <f t="shared" si="10"/>
        <v>5.2</v>
      </c>
      <c r="M58" s="772" t="str">
        <f t="shared" si="11"/>
        <v>Изменение стоимости основных фондов за счет их переоценки</v>
      </c>
      <c r="N58" s="772" t="str">
        <f t="shared" si="12"/>
        <v/>
      </c>
      <c r="O58" s="884" t="s">
        <v>1090</v>
      </c>
      <c r="P58" s="884" t="s">
        <v>1004</v>
      </c>
      <c r="Q58" s="884" t="s">
        <v>1004</v>
      </c>
      <c r="R58" s="884" t="s">
        <v>1004</v>
      </c>
      <c r="S58" s="884"/>
      <c r="T58" s="77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1" t="s">
        <v>2345</v>
      </c>
      <c r="V58" s="771" t="s">
        <v>2345</v>
      </c>
      <c r="W58" s="771" t="s">
        <v>2345</v>
      </c>
      <c r="X58" s="771"/>
      <c r="Y58" s="927"/>
      <c r="Z58" s="774"/>
      <c r="AA58" s="777"/>
      <c r="AB58" s="774"/>
      <c r="AC58" s="774"/>
      <c r="AD58" s="774"/>
    </row>
    <row r="59" spans="1:30" ht="36" customHeight="1">
      <c r="A59" s="773"/>
      <c r="B59" s="826">
        <v>42</v>
      </c>
      <c r="C59" s="771">
        <v>3</v>
      </c>
      <c r="D59" s="894" t="s">
        <v>2333</v>
      </c>
      <c r="E59" s="771" t="s">
        <v>2333</v>
      </c>
      <c r="F59" s="771" t="s">
        <v>2333</v>
      </c>
      <c r="G59" s="771"/>
      <c r="H59" s="818"/>
      <c r="I59" s="932">
        <f t="shared" si="7"/>
        <v>0</v>
      </c>
      <c r="J59" s="932">
        <f t="shared" si="8"/>
        <v>0</v>
      </c>
      <c r="K59" s="932">
        <f t="shared" si="9"/>
        <v>0</v>
      </c>
      <c r="L59" s="772" t="str">
        <f t="shared" si="10"/>
        <v/>
      </c>
      <c r="M59" s="772" t="str">
        <f t="shared" si="11"/>
        <v/>
      </c>
      <c r="N59" s="772" t="str">
        <f t="shared" si="12"/>
        <v/>
      </c>
      <c r="O59" s="884"/>
      <c r="P59" s="884" t="s">
        <v>115</v>
      </c>
      <c r="Q59" s="884" t="s">
        <v>115</v>
      </c>
      <c r="R59" s="884" t="s">
        <v>115</v>
      </c>
      <c r="S59" s="884"/>
      <c r="T59" s="771"/>
      <c r="U59" s="771" t="s">
        <v>2346</v>
      </c>
      <c r="V59" s="771" t="s">
        <v>2347</v>
      </c>
      <c r="W59" s="771" t="s">
        <v>2348</v>
      </c>
      <c r="X59" s="771"/>
      <c r="Y59" s="927"/>
      <c r="Z59" s="774"/>
      <c r="AA59" s="777"/>
      <c r="AB59" s="774"/>
      <c r="AC59" s="774"/>
      <c r="AD59" s="774"/>
    </row>
    <row r="60" spans="1:30" ht="81" customHeight="1">
      <c r="A60" s="773"/>
      <c r="B60" s="826">
        <v>43</v>
      </c>
      <c r="C60" s="771" t="s">
        <v>2349</v>
      </c>
      <c r="D60" s="894" t="s">
        <v>2349</v>
      </c>
      <c r="E60" s="771" t="s">
        <v>2349</v>
      </c>
      <c r="F60" s="771" t="s">
        <v>2349</v>
      </c>
      <c r="G60" s="771"/>
      <c r="H60" s="818"/>
      <c r="I60" s="932" t="str">
        <f t="shared" si="7"/>
        <v>6</v>
      </c>
      <c r="J60" s="932" t="str">
        <f t="shared" si="8"/>
        <v>Годовая бухгалтерская (финансовая) отчетность, включая бухгалтерский баланс и приложения к нему</v>
      </c>
      <c r="K60" s="93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4" t="s">
        <v>79</v>
      </c>
      <c r="P60" s="884" t="s">
        <v>79</v>
      </c>
      <c r="Q60" s="884" t="s">
        <v>79</v>
      </c>
      <c r="R60" s="884" t="s">
        <v>79</v>
      </c>
      <c r="S60" s="884"/>
      <c r="T60" s="771" t="s">
        <v>838</v>
      </c>
      <c r="U60" s="771" t="s">
        <v>838</v>
      </c>
      <c r="V60" s="771" t="s">
        <v>838</v>
      </c>
      <c r="W60" s="771" t="s">
        <v>838</v>
      </c>
      <c r="X60" s="771"/>
      <c r="Y60" s="927"/>
      <c r="Z60" s="774" t="s">
        <v>2350</v>
      </c>
      <c r="AA60" s="777" t="s">
        <v>2351</v>
      </c>
      <c r="AB60" s="774" t="s">
        <v>2352</v>
      </c>
      <c r="AC60" s="774" t="s">
        <v>2351</v>
      </c>
      <c r="AD60" s="774"/>
    </row>
    <row r="61" spans="1:30" ht="9" customHeight="1">
      <c r="A61" s="773"/>
      <c r="B61" s="826">
        <v>44</v>
      </c>
      <c r="C61" s="771"/>
      <c r="D61" s="894" t="s">
        <v>2353</v>
      </c>
      <c r="E61" s="771"/>
      <c r="F61" s="771"/>
      <c r="G61" s="771"/>
      <c r="H61" s="818"/>
      <c r="I61" s="932">
        <f t="shared" si="7"/>
        <v>0</v>
      </c>
      <c r="J61" s="932">
        <f t="shared" si="8"/>
        <v>0</v>
      </c>
      <c r="K61" s="932">
        <f t="shared" si="9"/>
        <v>0</v>
      </c>
      <c r="L61" s="772" t="str">
        <f t="shared" si="10"/>
        <v/>
      </c>
      <c r="M61" s="772" t="str">
        <f t="shared" si="11"/>
        <v/>
      </c>
      <c r="N61" s="772" t="str">
        <f t="shared" si="12"/>
        <v/>
      </c>
      <c r="O61" s="884"/>
      <c r="P61" s="884" t="s">
        <v>80</v>
      </c>
      <c r="Q61" s="884"/>
      <c r="R61" s="884"/>
      <c r="S61" s="884"/>
      <c r="T61" s="771"/>
      <c r="U61" s="771" t="s">
        <v>2354</v>
      </c>
      <c r="V61" s="771"/>
      <c r="W61" s="771"/>
      <c r="X61" s="771"/>
      <c r="Y61" s="927"/>
      <c r="Z61" s="774"/>
      <c r="AA61" s="777"/>
      <c r="AB61" s="774"/>
      <c r="AC61" s="774"/>
      <c r="AD61" s="774"/>
    </row>
    <row r="62" spans="1:30" ht="9" customHeight="1">
      <c r="A62" s="773"/>
      <c r="B62" s="826">
        <v>45</v>
      </c>
      <c r="C62" s="771"/>
      <c r="D62" s="894" t="s">
        <v>2355</v>
      </c>
      <c r="E62" s="771"/>
      <c r="F62" s="771"/>
      <c r="G62" s="771"/>
      <c r="H62" s="818"/>
      <c r="I62" s="932">
        <f t="shared" si="7"/>
        <v>0</v>
      </c>
      <c r="J62" s="932">
        <f t="shared" si="8"/>
        <v>0</v>
      </c>
      <c r="K62" s="932">
        <f t="shared" si="9"/>
        <v>0</v>
      </c>
      <c r="L62" s="772" t="str">
        <f t="shared" si="10"/>
        <v/>
      </c>
      <c r="M62" s="772" t="str">
        <f t="shared" si="11"/>
        <v/>
      </c>
      <c r="N62" s="772" t="str">
        <f t="shared" si="12"/>
        <v/>
      </c>
      <c r="O62" s="884"/>
      <c r="P62" s="884" t="s">
        <v>134</v>
      </c>
      <c r="Q62" s="884"/>
      <c r="R62" s="884"/>
      <c r="S62" s="884"/>
      <c r="T62" s="771"/>
      <c r="U62" s="771" t="s">
        <v>2356</v>
      </c>
      <c r="V62" s="771"/>
      <c r="W62" s="771"/>
      <c r="X62" s="771"/>
      <c r="Y62" s="927"/>
      <c r="Z62" s="774"/>
      <c r="AA62" s="777"/>
      <c r="AB62" s="774"/>
      <c r="AC62" s="774"/>
      <c r="AD62" s="774"/>
    </row>
    <row r="63" spans="1:30" ht="18" customHeight="1">
      <c r="A63" s="773"/>
      <c r="B63" s="826">
        <v>46</v>
      </c>
      <c r="C63" s="771"/>
      <c r="D63" s="894" t="s">
        <v>2357</v>
      </c>
      <c r="E63" s="771"/>
      <c r="F63" s="771"/>
      <c r="G63" s="771"/>
      <c r="H63" s="818"/>
      <c r="I63" s="932">
        <f t="shared" si="7"/>
        <v>0</v>
      </c>
      <c r="J63" s="932">
        <f t="shared" si="8"/>
        <v>0</v>
      </c>
      <c r="K63" s="932">
        <f t="shared" si="9"/>
        <v>0</v>
      </c>
      <c r="L63" s="772" t="str">
        <f t="shared" si="10"/>
        <v/>
      </c>
      <c r="M63" s="772" t="str">
        <f t="shared" si="11"/>
        <v/>
      </c>
      <c r="N63" s="772" t="str">
        <f t="shared" si="12"/>
        <v/>
      </c>
      <c r="O63" s="884"/>
      <c r="P63" s="884" t="s">
        <v>136</v>
      </c>
      <c r="Q63" s="884"/>
      <c r="R63" s="884"/>
      <c r="S63" s="884"/>
      <c r="T63" s="771"/>
      <c r="U63" s="771" t="s">
        <v>2358</v>
      </c>
      <c r="V63" s="771"/>
      <c r="W63" s="771"/>
      <c r="X63" s="771"/>
      <c r="Y63" s="927"/>
      <c r="Z63" s="774"/>
      <c r="AA63" s="777"/>
      <c r="AB63" s="774"/>
      <c r="AC63" s="774"/>
      <c r="AD63" s="774"/>
    </row>
    <row r="64" spans="1:30" ht="18" customHeight="1">
      <c r="A64" s="773"/>
      <c r="B64" s="826">
        <v>47</v>
      </c>
      <c r="C64" s="771"/>
      <c r="D64" s="894" t="s">
        <v>2359</v>
      </c>
      <c r="E64" s="771"/>
      <c r="F64" s="771"/>
      <c r="G64" s="771"/>
      <c r="H64" s="818"/>
      <c r="I64" s="932">
        <f t="shared" si="7"/>
        <v>0</v>
      </c>
      <c r="J64" s="932">
        <f t="shared" si="8"/>
        <v>0</v>
      </c>
      <c r="K64" s="932">
        <f t="shared" si="9"/>
        <v>0</v>
      </c>
      <c r="L64" s="772" t="str">
        <f t="shared" si="10"/>
        <v/>
      </c>
      <c r="M64" s="772" t="str">
        <f t="shared" si="11"/>
        <v/>
      </c>
      <c r="N64" s="772" t="str">
        <f t="shared" si="12"/>
        <v/>
      </c>
      <c r="O64" s="884"/>
      <c r="P64" s="884" t="s">
        <v>141</v>
      </c>
      <c r="Q64" s="884"/>
      <c r="R64" s="884"/>
      <c r="S64" s="884"/>
      <c r="T64" s="771"/>
      <c r="U64" s="771" t="s">
        <v>2360</v>
      </c>
      <c r="V64" s="771"/>
      <c r="W64" s="771"/>
      <c r="X64" s="771"/>
      <c r="Y64" s="927"/>
      <c r="Z64" s="774"/>
      <c r="AA64" s="777" t="s">
        <v>2361</v>
      </c>
      <c r="AB64" s="774"/>
      <c r="AC64" s="774"/>
      <c r="AD64" s="774"/>
    </row>
    <row r="65" spans="1:30" ht="18" customHeight="1">
      <c r="A65" s="773"/>
      <c r="B65" s="826">
        <v>48</v>
      </c>
      <c r="C65" s="771"/>
      <c r="D65" s="894"/>
      <c r="E65" s="771"/>
      <c r="F65" s="771"/>
      <c r="G65" s="771"/>
      <c r="H65" s="818"/>
      <c r="I65" s="932">
        <f t="shared" si="7"/>
        <v>0</v>
      </c>
      <c r="J65" s="932">
        <f t="shared" si="8"/>
        <v>0</v>
      </c>
      <c r="K65" s="932">
        <f t="shared" si="9"/>
        <v>0</v>
      </c>
      <c r="L65" s="772" t="str">
        <f t="shared" si="10"/>
        <v/>
      </c>
      <c r="M65" s="772" t="str">
        <f t="shared" si="11"/>
        <v/>
      </c>
      <c r="N65" s="772" t="str">
        <f t="shared" si="12"/>
        <v/>
      </c>
      <c r="O65" s="884"/>
      <c r="P65" s="884" t="s">
        <v>2274</v>
      </c>
      <c r="Q65" s="884"/>
      <c r="R65" s="884"/>
      <c r="S65" s="884"/>
      <c r="T65" s="771"/>
      <c r="U65" s="771" t="s">
        <v>2362</v>
      </c>
      <c r="V65" s="771"/>
      <c r="W65" s="771"/>
      <c r="X65" s="771"/>
      <c r="Y65" s="927"/>
      <c r="Z65" s="774"/>
      <c r="AA65" s="777"/>
      <c r="AB65" s="774"/>
      <c r="AC65" s="774"/>
      <c r="AD65" s="774"/>
    </row>
    <row r="66" spans="1:30" ht="18" customHeight="1">
      <c r="A66" s="773"/>
      <c r="B66" s="826">
        <v>49</v>
      </c>
      <c r="C66" s="771"/>
      <c r="D66" s="894"/>
      <c r="E66" s="771"/>
      <c r="F66" s="771"/>
      <c r="G66" s="771"/>
      <c r="H66" s="818"/>
      <c r="I66" s="932">
        <f t="shared" si="7"/>
        <v>0</v>
      </c>
      <c r="J66" s="932">
        <f t="shared" si="8"/>
        <v>0</v>
      </c>
      <c r="K66" s="932">
        <f t="shared" si="9"/>
        <v>0</v>
      </c>
      <c r="L66" s="772" t="str">
        <f t="shared" si="10"/>
        <v/>
      </c>
      <c r="M66" s="772" t="str">
        <f t="shared" si="11"/>
        <v/>
      </c>
      <c r="N66" s="772" t="str">
        <f t="shared" si="12"/>
        <v/>
      </c>
      <c r="O66" s="884"/>
      <c r="P66" s="884" t="s">
        <v>2278</v>
      </c>
      <c r="Q66" s="884"/>
      <c r="R66" s="884"/>
      <c r="S66" s="884"/>
      <c r="T66" s="771"/>
      <c r="U66" s="771" t="s">
        <v>2363</v>
      </c>
      <c r="V66" s="771"/>
      <c r="W66" s="771"/>
      <c r="X66" s="771"/>
      <c r="Y66" s="927"/>
      <c r="Z66" s="774"/>
      <c r="AA66" s="777"/>
      <c r="AB66" s="774"/>
      <c r="AC66" s="774"/>
      <c r="AD66" s="774"/>
    </row>
    <row r="67" spans="1:30" ht="27" customHeight="1">
      <c r="A67" s="773"/>
      <c r="B67" s="826">
        <v>50</v>
      </c>
      <c r="C67" s="771"/>
      <c r="D67" s="894"/>
      <c r="E67" s="771"/>
      <c r="F67" s="771"/>
      <c r="G67" s="771"/>
      <c r="H67" s="818"/>
      <c r="I67" s="932">
        <f t="shared" si="7"/>
        <v>0</v>
      </c>
      <c r="J67" s="932">
        <f t="shared" si="8"/>
        <v>0</v>
      </c>
      <c r="K67" s="932">
        <f t="shared" si="9"/>
        <v>0</v>
      </c>
      <c r="L67" s="772" t="str">
        <f t="shared" si="10"/>
        <v/>
      </c>
      <c r="M67" s="772" t="str">
        <f t="shared" si="11"/>
        <v/>
      </c>
      <c r="N67" s="772" t="str">
        <f t="shared" si="12"/>
        <v/>
      </c>
      <c r="O67" s="884"/>
      <c r="P67" s="884" t="s">
        <v>2364</v>
      </c>
      <c r="Q67" s="884"/>
      <c r="R67" s="884"/>
      <c r="S67" s="884"/>
      <c r="T67" s="771"/>
      <c r="U67" s="771" t="s">
        <v>2365</v>
      </c>
      <c r="V67" s="771"/>
      <c r="W67" s="771"/>
      <c r="X67" s="771"/>
      <c r="Y67" s="927"/>
      <c r="Z67" s="774"/>
      <c r="AA67" s="777"/>
      <c r="AB67" s="774"/>
      <c r="AC67" s="774"/>
      <c r="AD67" s="774"/>
    </row>
    <row r="68" spans="1:30" ht="27" customHeight="1">
      <c r="A68" s="773"/>
      <c r="B68" s="826">
        <v>51</v>
      </c>
      <c r="C68" s="771"/>
      <c r="D68" s="894"/>
      <c r="E68" s="771"/>
      <c r="F68" s="771"/>
      <c r="G68" s="771"/>
      <c r="H68" s="818"/>
      <c r="I68" s="932">
        <f t="shared" si="7"/>
        <v>0</v>
      </c>
      <c r="J68" s="932">
        <f t="shared" si="8"/>
        <v>0</v>
      </c>
      <c r="K68" s="932">
        <f t="shared" si="9"/>
        <v>0</v>
      </c>
      <c r="L68" s="772" t="str">
        <f t="shared" si="10"/>
        <v/>
      </c>
      <c r="M68" s="772" t="str">
        <f t="shared" si="11"/>
        <v/>
      </c>
      <c r="N68" s="772" t="str">
        <f t="shared" si="12"/>
        <v/>
      </c>
      <c r="O68" s="884"/>
      <c r="P68" s="884" t="s">
        <v>2366</v>
      </c>
      <c r="Q68" s="884"/>
      <c r="R68" s="884"/>
      <c r="S68" s="884"/>
      <c r="T68" s="771"/>
      <c r="U68" s="771" t="s">
        <v>2367</v>
      </c>
      <c r="V68" s="771"/>
      <c r="W68" s="771"/>
      <c r="X68" s="771"/>
      <c r="Y68" s="927"/>
      <c r="Z68" s="774"/>
      <c r="AA68" s="777"/>
      <c r="AB68" s="774"/>
      <c r="AC68" s="774"/>
      <c r="AD68" s="774"/>
    </row>
    <row r="69" spans="1:30" ht="9" customHeight="1">
      <c r="A69" s="773"/>
      <c r="B69" s="826">
        <v>52</v>
      </c>
      <c r="C69" s="771"/>
      <c r="D69" s="894" t="s">
        <v>2368</v>
      </c>
      <c r="E69" s="771"/>
      <c r="F69" s="771"/>
      <c r="G69" s="771"/>
      <c r="H69" s="818"/>
      <c r="I69" s="932">
        <f t="shared" si="7"/>
        <v>0</v>
      </c>
      <c r="J69" s="932">
        <f t="shared" si="8"/>
        <v>0</v>
      </c>
      <c r="K69" s="932">
        <f t="shared" si="9"/>
        <v>0</v>
      </c>
      <c r="L69" s="772" t="str">
        <f t="shared" si="10"/>
        <v/>
      </c>
      <c r="M69" s="772" t="str">
        <f t="shared" si="11"/>
        <v/>
      </c>
      <c r="N69" s="772" t="str">
        <f t="shared" si="12"/>
        <v/>
      </c>
      <c r="O69" s="884"/>
      <c r="P69" s="884" t="s">
        <v>146</v>
      </c>
      <c r="Q69" s="884"/>
      <c r="R69" s="884"/>
      <c r="S69" s="884"/>
      <c r="T69" s="771"/>
      <c r="U69" s="771" t="s">
        <v>2369</v>
      </c>
      <c r="V69" s="771"/>
      <c r="W69" s="771"/>
      <c r="X69" s="771"/>
      <c r="Y69" s="927"/>
      <c r="Z69" s="774"/>
      <c r="AA69" s="777"/>
      <c r="AB69" s="774"/>
      <c r="AC69" s="774"/>
      <c r="AD69" s="774"/>
    </row>
    <row r="70" spans="1:30" ht="27" customHeight="1">
      <c r="A70" s="773"/>
      <c r="B70" s="826">
        <v>53</v>
      </c>
      <c r="C70" s="771"/>
      <c r="D70" s="894"/>
      <c r="E70" s="771" t="s">
        <v>2353</v>
      </c>
      <c r="F70" s="771"/>
      <c r="G70" s="771"/>
      <c r="H70" s="818"/>
      <c r="I70" s="932">
        <f t="shared" si="7"/>
        <v>0</v>
      </c>
      <c r="J70" s="932">
        <f t="shared" si="8"/>
        <v>0</v>
      </c>
      <c r="K70" s="932">
        <f t="shared" si="9"/>
        <v>0</v>
      </c>
      <c r="L70" s="772" t="str">
        <f t="shared" si="10"/>
        <v/>
      </c>
      <c r="M70" s="772" t="str">
        <f t="shared" si="11"/>
        <v/>
      </c>
      <c r="N70" s="772" t="str">
        <f t="shared" si="12"/>
        <v/>
      </c>
      <c r="O70" s="884"/>
      <c r="P70" s="884"/>
      <c r="Q70" s="884" t="s">
        <v>80</v>
      </c>
      <c r="R70" s="884"/>
      <c r="S70" s="884"/>
      <c r="T70" s="771"/>
      <c r="U70" s="771"/>
      <c r="V70" s="771" t="s">
        <v>2370</v>
      </c>
      <c r="W70" s="771"/>
      <c r="X70" s="771"/>
      <c r="Y70" s="927"/>
      <c r="Z70" s="774"/>
      <c r="AA70" s="777"/>
      <c r="AB70" s="774"/>
      <c r="AC70" s="774"/>
      <c r="AD70" s="774"/>
    </row>
    <row r="71" spans="1:30" ht="36" customHeight="1">
      <c r="A71" s="773"/>
      <c r="B71" s="826">
        <v>54</v>
      </c>
      <c r="C71" s="771"/>
      <c r="D71" s="894"/>
      <c r="E71" s="771" t="s">
        <v>2355</v>
      </c>
      <c r="F71" s="771"/>
      <c r="G71" s="771"/>
      <c r="H71" s="818"/>
      <c r="I71" s="932">
        <f t="shared" si="7"/>
        <v>0</v>
      </c>
      <c r="J71" s="932">
        <f t="shared" si="8"/>
        <v>0</v>
      </c>
      <c r="K71" s="932">
        <f t="shared" si="9"/>
        <v>0</v>
      </c>
      <c r="L71" s="772" t="str">
        <f t="shared" si="10"/>
        <v/>
      </c>
      <c r="M71" s="772" t="str">
        <f t="shared" si="11"/>
        <v/>
      </c>
      <c r="N71" s="772" t="str">
        <f t="shared" si="12"/>
        <v/>
      </c>
      <c r="O71" s="884"/>
      <c r="P71" s="884"/>
      <c r="Q71" s="884" t="s">
        <v>134</v>
      </c>
      <c r="R71" s="884"/>
      <c r="S71" s="884"/>
      <c r="T71" s="771"/>
      <c r="U71" s="771"/>
      <c r="V71" s="771" t="s">
        <v>2371</v>
      </c>
      <c r="W71" s="771"/>
      <c r="X71" s="771"/>
      <c r="Y71" s="927"/>
      <c r="Z71" s="774"/>
      <c r="AA71" s="777"/>
      <c r="AB71" s="774"/>
      <c r="AC71" s="774"/>
      <c r="AD71" s="774"/>
    </row>
    <row r="72" spans="1:30" ht="27" customHeight="1">
      <c r="A72" s="773"/>
      <c r="B72" s="826">
        <v>55</v>
      </c>
      <c r="C72" s="771"/>
      <c r="D72" s="894"/>
      <c r="E72" s="771" t="s">
        <v>2357</v>
      </c>
      <c r="F72" s="771"/>
      <c r="G72" s="771"/>
      <c r="H72" s="818"/>
      <c r="I72" s="932">
        <f t="shared" si="7"/>
        <v>0</v>
      </c>
      <c r="J72" s="932">
        <f t="shared" si="8"/>
        <v>0</v>
      </c>
      <c r="K72" s="932">
        <f t="shared" si="9"/>
        <v>0</v>
      </c>
      <c r="L72" s="772" t="str">
        <f t="shared" si="10"/>
        <v/>
      </c>
      <c r="M72" s="772" t="str">
        <f t="shared" si="11"/>
        <v/>
      </c>
      <c r="N72" s="772" t="str">
        <f t="shared" si="12"/>
        <v/>
      </c>
      <c r="O72" s="884"/>
      <c r="P72" s="884"/>
      <c r="Q72" s="884" t="s">
        <v>136</v>
      </c>
      <c r="R72" s="884"/>
      <c r="S72" s="884"/>
      <c r="T72" s="771"/>
      <c r="U72" s="771"/>
      <c r="V72" s="771" t="s">
        <v>2372</v>
      </c>
      <c r="W72" s="771"/>
      <c r="X72" s="771"/>
      <c r="Y72" s="927"/>
      <c r="Z72" s="774"/>
      <c r="AA72" s="777"/>
      <c r="AB72" s="774"/>
      <c r="AC72" s="774"/>
      <c r="AD72" s="774"/>
    </row>
    <row r="73" spans="1:30" ht="36" customHeight="1">
      <c r="A73" s="773"/>
      <c r="B73" s="826">
        <v>56</v>
      </c>
      <c r="C73" s="771"/>
      <c r="D73" s="894"/>
      <c r="E73" s="771" t="s">
        <v>2359</v>
      </c>
      <c r="F73" s="771"/>
      <c r="G73" s="771"/>
      <c r="H73" s="818"/>
      <c r="I73" s="932">
        <f t="shared" si="7"/>
        <v>0</v>
      </c>
      <c r="J73" s="932">
        <f t="shared" si="8"/>
        <v>0</v>
      </c>
      <c r="K73" s="932">
        <f t="shared" si="9"/>
        <v>0</v>
      </c>
      <c r="L73" s="772" t="str">
        <f t="shared" si="10"/>
        <v/>
      </c>
      <c r="M73" s="772" t="str">
        <f t="shared" si="11"/>
        <v/>
      </c>
      <c r="N73" s="772" t="str">
        <f t="shared" si="12"/>
        <v/>
      </c>
      <c r="O73" s="884"/>
      <c r="P73" s="884"/>
      <c r="Q73" s="884" t="s">
        <v>141</v>
      </c>
      <c r="R73" s="884"/>
      <c r="S73" s="884"/>
      <c r="T73" s="771"/>
      <c r="U73" s="771"/>
      <c r="V73" s="771" t="s">
        <v>2373</v>
      </c>
      <c r="W73" s="771"/>
      <c r="X73" s="771"/>
      <c r="Y73" s="927"/>
      <c r="Z73" s="774"/>
      <c r="AA73" s="777"/>
      <c r="AB73" s="774"/>
      <c r="AC73" s="774"/>
      <c r="AD73" s="774"/>
    </row>
    <row r="74" spans="1:30" ht="18" customHeight="1">
      <c r="A74" s="773"/>
      <c r="B74" s="826">
        <v>57</v>
      </c>
      <c r="C74" s="771"/>
      <c r="D74" s="894"/>
      <c r="E74" s="771" t="s">
        <v>2368</v>
      </c>
      <c r="F74" s="771"/>
      <c r="G74" s="771"/>
      <c r="H74" s="818"/>
      <c r="I74" s="932">
        <f t="shared" si="7"/>
        <v>0</v>
      </c>
      <c r="J74" s="932">
        <f t="shared" si="8"/>
        <v>0</v>
      </c>
      <c r="K74" s="932">
        <f t="shared" si="9"/>
        <v>0</v>
      </c>
      <c r="L74" s="772" t="str">
        <f t="shared" si="10"/>
        <v/>
      </c>
      <c r="M74" s="772" t="str">
        <f t="shared" si="11"/>
        <v/>
      </c>
      <c r="N74" s="772" t="str">
        <f t="shared" si="12"/>
        <v/>
      </c>
      <c r="O74" s="884"/>
      <c r="P74" s="884"/>
      <c r="Q74" s="884" t="s">
        <v>146</v>
      </c>
      <c r="R74" s="884"/>
      <c r="S74" s="884"/>
      <c r="T74" s="771"/>
      <c r="U74" s="771"/>
      <c r="V74" s="771" t="s">
        <v>2374</v>
      </c>
      <c r="W74" s="771"/>
      <c r="X74" s="771"/>
      <c r="Y74" s="927"/>
      <c r="Z74" s="774"/>
      <c r="AA74" s="777"/>
      <c r="AB74" s="774"/>
      <c r="AC74" s="774"/>
      <c r="AD74" s="774"/>
    </row>
    <row r="75" spans="1:30" ht="18" customHeight="1">
      <c r="A75" s="773"/>
      <c r="B75" s="826">
        <v>58</v>
      </c>
      <c r="C75" s="771"/>
      <c r="D75" s="894"/>
      <c r="E75" s="771"/>
      <c r="F75" s="771" t="s">
        <v>2353</v>
      </c>
      <c r="G75" s="771"/>
      <c r="H75" s="818"/>
      <c r="I75" s="932">
        <f t="shared" si="7"/>
        <v>0</v>
      </c>
      <c r="J75" s="932">
        <f t="shared" si="8"/>
        <v>0</v>
      </c>
      <c r="K75" s="932">
        <f t="shared" si="9"/>
        <v>0</v>
      </c>
      <c r="L75" s="772" t="str">
        <f t="shared" si="10"/>
        <v/>
      </c>
      <c r="M75" s="772" t="str">
        <f t="shared" si="11"/>
        <v/>
      </c>
      <c r="N75" s="772" t="str">
        <f t="shared" si="12"/>
        <v/>
      </c>
      <c r="O75" s="884"/>
      <c r="P75" s="884"/>
      <c r="Q75" s="884"/>
      <c r="R75" s="884" t="s">
        <v>80</v>
      </c>
      <c r="S75" s="884"/>
      <c r="T75" s="771"/>
      <c r="U75" s="771"/>
      <c r="V75" s="771"/>
      <c r="W75" s="771" t="s">
        <v>2375</v>
      </c>
      <c r="X75" s="771"/>
      <c r="Y75" s="927"/>
      <c r="Z75" s="774"/>
      <c r="AA75" s="777"/>
      <c r="AB75" s="774"/>
      <c r="AC75" s="774"/>
      <c r="AD75" s="774"/>
    </row>
    <row r="76" spans="1:30" ht="36" customHeight="1">
      <c r="A76" s="773"/>
      <c r="B76" s="826">
        <v>59</v>
      </c>
      <c r="C76" s="771"/>
      <c r="D76" s="894"/>
      <c r="E76" s="771"/>
      <c r="F76" s="771" t="s">
        <v>2355</v>
      </c>
      <c r="G76" s="771"/>
      <c r="H76" s="818"/>
      <c r="I76" s="932">
        <f t="shared" si="7"/>
        <v>0</v>
      </c>
      <c r="J76" s="932">
        <f t="shared" si="8"/>
        <v>0</v>
      </c>
      <c r="K76" s="932">
        <f t="shared" si="9"/>
        <v>0</v>
      </c>
      <c r="L76" s="772" t="str">
        <f t="shared" si="10"/>
        <v/>
      </c>
      <c r="M76" s="772" t="str">
        <f t="shared" si="11"/>
        <v/>
      </c>
      <c r="N76" s="772" t="str">
        <f t="shared" si="12"/>
        <v/>
      </c>
      <c r="O76" s="884"/>
      <c r="P76" s="884"/>
      <c r="Q76" s="884"/>
      <c r="R76" s="884" t="s">
        <v>134</v>
      </c>
      <c r="S76" s="884"/>
      <c r="T76" s="771"/>
      <c r="U76" s="771"/>
      <c r="V76" s="771"/>
      <c r="W76" s="771" t="s">
        <v>2376</v>
      </c>
      <c r="X76" s="771"/>
      <c r="Y76" s="927"/>
      <c r="Z76" s="774"/>
      <c r="AA76" s="777"/>
      <c r="AB76" s="774"/>
      <c r="AC76" s="774"/>
      <c r="AD76" s="774"/>
    </row>
    <row r="77" spans="1:30" ht="18" customHeight="1">
      <c r="A77" s="773"/>
      <c r="B77" s="826">
        <v>60</v>
      </c>
      <c r="C77" s="771"/>
      <c r="D77" s="894"/>
      <c r="E77" s="771"/>
      <c r="F77" s="771" t="s">
        <v>2357</v>
      </c>
      <c r="G77" s="771"/>
      <c r="H77" s="818"/>
      <c r="I77" s="932">
        <f t="shared" si="7"/>
        <v>0</v>
      </c>
      <c r="J77" s="932">
        <f t="shared" si="8"/>
        <v>0</v>
      </c>
      <c r="K77" s="932">
        <f t="shared" si="9"/>
        <v>0</v>
      </c>
      <c r="L77" s="772" t="str">
        <f t="shared" si="10"/>
        <v/>
      </c>
      <c r="M77" s="772" t="str">
        <f t="shared" si="11"/>
        <v/>
      </c>
      <c r="N77" s="772" t="str">
        <f t="shared" si="12"/>
        <v/>
      </c>
      <c r="O77" s="884"/>
      <c r="P77" s="884"/>
      <c r="Q77" s="884"/>
      <c r="R77" s="884" t="s">
        <v>136</v>
      </c>
      <c r="S77" s="884"/>
      <c r="T77" s="771"/>
      <c r="U77" s="771"/>
      <c r="V77" s="771"/>
      <c r="W77" s="771" t="s">
        <v>2377</v>
      </c>
      <c r="X77" s="771"/>
      <c r="Y77" s="927"/>
      <c r="Z77" s="774"/>
      <c r="AA77" s="777"/>
      <c r="AB77" s="774"/>
      <c r="AC77" s="774"/>
      <c r="AD77" s="774"/>
    </row>
    <row r="78" spans="1:30" ht="72" customHeight="1">
      <c r="A78" s="773"/>
      <c r="B78" s="826">
        <v>61</v>
      </c>
      <c r="C78" s="771" t="s">
        <v>2353</v>
      </c>
      <c r="D78" s="894"/>
      <c r="E78" s="771"/>
      <c r="F78" s="771"/>
      <c r="G78" s="771"/>
      <c r="H78" s="818"/>
      <c r="I78" s="932" t="str">
        <f t="shared" si="7"/>
        <v>7</v>
      </c>
      <c r="J78" s="93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2" t="str">
        <f t="shared" si="10"/>
        <v>7</v>
      </c>
      <c r="M78" s="772"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2"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4" t="s">
        <v>80</v>
      </c>
      <c r="P78" s="884"/>
      <c r="Q78" s="884"/>
      <c r="R78" s="884"/>
      <c r="S78" s="884"/>
      <c r="T78" s="771" t="s">
        <v>843</v>
      </c>
      <c r="U78" s="771"/>
      <c r="V78" s="771"/>
      <c r="W78" s="771"/>
      <c r="X78" s="771"/>
      <c r="Y78" s="927"/>
      <c r="Z78" s="774" t="s">
        <v>2378</v>
      </c>
      <c r="AA78" s="777"/>
      <c r="AB78" s="774"/>
      <c r="AC78" s="774"/>
      <c r="AD78" s="774"/>
    </row>
    <row r="79" spans="1:30" ht="36" customHeight="1">
      <c r="A79" s="773"/>
      <c r="B79" s="826">
        <v>62</v>
      </c>
      <c r="C79" s="771" t="s">
        <v>2355</v>
      </c>
      <c r="D79" s="894"/>
      <c r="E79" s="771"/>
      <c r="F79" s="771"/>
      <c r="G79" s="771"/>
      <c r="H79" s="818"/>
      <c r="I79" s="932" t="str">
        <f t="shared" si="7"/>
        <v>8</v>
      </c>
      <c r="J79" s="932" t="str">
        <f t="shared" si="8"/>
        <v>Тепловая нагрузка по договорам, заключенным в рамках осуществления регулируемых видов деятельности</v>
      </c>
      <c r="K79" s="93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2" t="str">
        <f t="shared" si="10"/>
        <v>8</v>
      </c>
      <c r="M79" s="772" t="str">
        <f t="shared" si="11"/>
        <v>Тепловая нагрузка по договорам, заключенным в рамках осуществления регулируемых видов деятельности</v>
      </c>
      <c r="N79" s="772"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4" t="s">
        <v>134</v>
      </c>
      <c r="P79" s="884"/>
      <c r="Q79" s="884"/>
      <c r="R79" s="884"/>
      <c r="S79" s="884"/>
      <c r="T79" s="771" t="s">
        <v>2379</v>
      </c>
      <c r="U79" s="771"/>
      <c r="V79" s="771"/>
      <c r="W79" s="771"/>
      <c r="X79" s="771"/>
      <c r="Y79" s="927"/>
      <c r="Z79" s="774" t="s">
        <v>2380</v>
      </c>
      <c r="AA79" s="777"/>
      <c r="AB79" s="774"/>
      <c r="AC79" s="774"/>
      <c r="AD79" s="774"/>
    </row>
    <row r="80" spans="1:30" ht="45" customHeight="1">
      <c r="A80" s="773"/>
      <c r="B80" s="826">
        <v>63</v>
      </c>
      <c r="C80" s="771" t="s">
        <v>2357</v>
      </c>
      <c r="D80" s="894"/>
      <c r="E80" s="771"/>
      <c r="F80" s="771"/>
      <c r="G80" s="771"/>
      <c r="H80" s="818"/>
      <c r="I80" s="932" t="str">
        <f t="shared" si="7"/>
        <v>9</v>
      </c>
      <c r="J80" s="932" t="str">
        <f t="shared" si="8"/>
        <v>Объем вырабатываемой регулируемой организацией тепловой энергии в рамках осуществления регулируемых видов деятельности</v>
      </c>
      <c r="K80" s="93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2" t="str">
        <f t="shared" si="10"/>
        <v>9</v>
      </c>
      <c r="M80" s="772" t="str">
        <f t="shared" si="11"/>
        <v>Объем вырабатываемой регулируемой организацией тепловой энергии в рамках осуществления регулируемых видов деятельности</v>
      </c>
      <c r="N80" s="772"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4" t="s">
        <v>136</v>
      </c>
      <c r="P80" s="884"/>
      <c r="Q80" s="884"/>
      <c r="R80" s="884"/>
      <c r="S80" s="884"/>
      <c r="T80" s="771" t="s">
        <v>2381</v>
      </c>
      <c r="U80" s="771"/>
      <c r="V80" s="771"/>
      <c r="W80" s="771"/>
      <c r="X80" s="771"/>
      <c r="Y80" s="927"/>
      <c r="Z80" s="774" t="s">
        <v>2382</v>
      </c>
      <c r="AA80" s="777"/>
      <c r="AB80" s="774"/>
      <c r="AC80" s="774"/>
      <c r="AD80" s="774"/>
    </row>
    <row r="81" spans="1:30" ht="36" customHeight="1">
      <c r="A81" s="773"/>
      <c r="B81" s="826">
        <v>64</v>
      </c>
      <c r="C81" s="771" t="s">
        <v>2359</v>
      </c>
      <c r="D81" s="894"/>
      <c r="E81" s="771"/>
      <c r="F81" s="771"/>
      <c r="G81" s="771"/>
      <c r="H81" s="818"/>
      <c r="I81" s="932" t="str">
        <f t="shared" si="7"/>
        <v>9.1</v>
      </c>
      <c r="J81" s="932" t="str">
        <f t="shared" si="8"/>
        <v>Объем приобретаемой регулируемой организацией тепловой энергии в рамках осуществления регулируемых видов деятельности</v>
      </c>
      <c r="K81" s="932" t="str">
        <f t="shared" si="9"/>
        <v>Информация указывается только едиными теплоснабжающими организациями.</v>
      </c>
      <c r="L81" s="772" t="str">
        <f t="shared" si="10"/>
        <v>9.1</v>
      </c>
      <c r="M81" s="772" t="str">
        <f t="shared" si="11"/>
        <v>Объем приобретаемой регулируемой организацией тепловой энергии в рамках осуществления регулируемых видов деятельности</v>
      </c>
      <c r="N81" s="772" t="str">
        <f t="shared" si="12"/>
        <v>Информация указывается только едиными теплоснабжающими организациями.</v>
      </c>
      <c r="O81" s="884" t="s">
        <v>2265</v>
      </c>
      <c r="P81" s="884"/>
      <c r="Q81" s="884"/>
      <c r="R81" s="884"/>
      <c r="S81" s="884"/>
      <c r="T81" s="771" t="s">
        <v>2383</v>
      </c>
      <c r="U81" s="771"/>
      <c r="V81" s="771"/>
      <c r="W81" s="771"/>
      <c r="X81" s="771"/>
      <c r="Y81" s="927"/>
      <c r="Z81" s="774" t="s">
        <v>2384</v>
      </c>
      <c r="AA81" s="777"/>
      <c r="AB81" s="774"/>
      <c r="AC81" s="774"/>
      <c r="AD81" s="774"/>
    </row>
    <row r="82" spans="1:30" ht="90" customHeight="1">
      <c r="A82" s="773"/>
      <c r="B82" s="826">
        <v>65</v>
      </c>
      <c r="C82" s="771" t="s">
        <v>2368</v>
      </c>
      <c r="D82" s="894"/>
      <c r="E82" s="771"/>
      <c r="F82" s="771"/>
      <c r="G82" s="771"/>
      <c r="H82" s="818"/>
      <c r="I82" s="932" t="str">
        <f t="shared" ref="I82:I101" si="13">INDEX(TEMPLATE_NUMBER_POINT_FHD,B82,MATCH(TEMPLATE_SPHERE,TEMPLATE_SPHERE_LIST_FOR_NOTE,0))</f>
        <v>10</v>
      </c>
      <c r="J82" s="93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2" t="str">
        <f t="shared" ref="L82:L101" si="16">IF(I82=0,"",I82)</f>
        <v>10</v>
      </c>
      <c r="M82" s="772"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2"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4" t="s">
        <v>141</v>
      </c>
      <c r="P82" s="884"/>
      <c r="Q82" s="884"/>
      <c r="R82" s="884"/>
      <c r="S82" s="884"/>
      <c r="T82" s="771" t="s">
        <v>2385</v>
      </c>
      <c r="U82" s="771"/>
      <c r="V82" s="771"/>
      <c r="W82" s="771"/>
      <c r="X82" s="771"/>
      <c r="Y82" s="927"/>
      <c r="Z82" s="774" t="s">
        <v>2386</v>
      </c>
      <c r="AA82" s="777"/>
      <c r="AB82" s="774"/>
      <c r="AC82" s="774"/>
      <c r="AD82" s="774"/>
    </row>
    <row r="83" spans="1:30" ht="9" customHeight="1">
      <c r="A83" s="773"/>
      <c r="B83" s="826">
        <v>66</v>
      </c>
      <c r="C83" s="771"/>
      <c r="D83" s="894"/>
      <c r="E83" s="771"/>
      <c r="F83" s="771"/>
      <c r="G83" s="771"/>
      <c r="H83" s="818"/>
      <c r="I83" s="932" t="str">
        <f t="shared" si="13"/>
        <v>10.1</v>
      </c>
      <c r="J83" s="932" t="str">
        <f t="shared" si="14"/>
        <v xml:space="preserve">По приборам учёта </v>
      </c>
      <c r="K83" s="932">
        <f t="shared" si="15"/>
        <v>0</v>
      </c>
      <c r="L83" s="772" t="str">
        <f t="shared" si="16"/>
        <v>10.1</v>
      </c>
      <c r="M83" s="772" t="str">
        <f t="shared" si="17"/>
        <v xml:space="preserve">По приборам учёта </v>
      </c>
      <c r="N83" s="772" t="str">
        <f t="shared" si="18"/>
        <v/>
      </c>
      <c r="O83" s="884" t="s">
        <v>2274</v>
      </c>
      <c r="P83" s="884"/>
      <c r="Q83" s="884"/>
      <c r="R83" s="884"/>
      <c r="S83" s="884"/>
      <c r="T83" s="771" t="s">
        <v>2387</v>
      </c>
      <c r="U83" s="771"/>
      <c r="V83" s="771"/>
      <c r="W83" s="771"/>
      <c r="X83" s="771"/>
      <c r="Y83" s="927"/>
      <c r="Z83" s="774"/>
      <c r="AA83" s="777"/>
      <c r="AB83" s="774"/>
      <c r="AC83" s="774"/>
      <c r="AD83" s="774"/>
    </row>
    <row r="84" spans="1:30" ht="54" customHeight="1">
      <c r="A84" s="773"/>
      <c r="B84" s="826">
        <v>67</v>
      </c>
      <c r="C84" s="771"/>
      <c r="D84" s="894"/>
      <c r="E84" s="771"/>
      <c r="F84" s="771"/>
      <c r="G84" s="771"/>
      <c r="H84" s="818"/>
      <c r="I84" s="932" t="str">
        <f t="shared" si="13"/>
        <v>10.1.1</v>
      </c>
      <c r="J84" s="93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2">
        <f t="shared" si="15"/>
        <v>0</v>
      </c>
      <c r="L84" s="772" t="str">
        <f t="shared" si="16"/>
        <v>10.1.1</v>
      </c>
      <c r="M84" s="772"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2" t="str">
        <f t="shared" si="18"/>
        <v/>
      </c>
      <c r="O84" s="884" t="s">
        <v>2388</v>
      </c>
      <c r="P84" s="884"/>
      <c r="Q84" s="884"/>
      <c r="R84" s="884"/>
      <c r="S84" s="884"/>
      <c r="T84" s="771" t="s">
        <v>2389</v>
      </c>
      <c r="U84" s="771"/>
      <c r="V84" s="771"/>
      <c r="W84" s="771"/>
      <c r="X84" s="771"/>
      <c r="Y84" s="927"/>
      <c r="Z84" s="774"/>
      <c r="AA84" s="777"/>
      <c r="AB84" s="774"/>
      <c r="AC84" s="774"/>
      <c r="AD84" s="774"/>
    </row>
    <row r="85" spans="1:30" ht="9" customHeight="1">
      <c r="A85" s="773"/>
      <c r="B85" s="826">
        <v>68</v>
      </c>
      <c r="C85" s="771"/>
      <c r="D85" s="894"/>
      <c r="E85" s="771"/>
      <c r="F85" s="771"/>
      <c r="G85" s="771"/>
      <c r="H85" s="818"/>
      <c r="I85" s="932" t="str">
        <f t="shared" si="13"/>
        <v>10.2</v>
      </c>
      <c r="J85" s="932" t="str">
        <f t="shared" si="14"/>
        <v>Расчётным путём</v>
      </c>
      <c r="K85" s="932">
        <f t="shared" si="15"/>
        <v>0</v>
      </c>
      <c r="L85" s="772" t="str">
        <f t="shared" si="16"/>
        <v>10.2</v>
      </c>
      <c r="M85" s="772" t="str">
        <f t="shared" si="17"/>
        <v>Расчётным путём</v>
      </c>
      <c r="N85" s="772" t="str">
        <f t="shared" si="18"/>
        <v/>
      </c>
      <c r="O85" s="884" t="s">
        <v>2278</v>
      </c>
      <c r="P85" s="884"/>
      <c r="Q85" s="884"/>
      <c r="R85" s="884"/>
      <c r="S85" s="884"/>
      <c r="T85" s="771" t="s">
        <v>2390</v>
      </c>
      <c r="U85" s="771"/>
      <c r="V85" s="771"/>
      <c r="W85" s="771"/>
      <c r="X85" s="771"/>
      <c r="Y85" s="927"/>
      <c r="Z85" s="774"/>
      <c r="AA85" s="777"/>
      <c r="AB85" s="774"/>
      <c r="AC85" s="774"/>
      <c r="AD85" s="774"/>
    </row>
    <row r="86" spans="1:30" ht="27" customHeight="1">
      <c r="A86" s="773"/>
      <c r="B86" s="826">
        <v>69</v>
      </c>
      <c r="C86" s="771"/>
      <c r="D86" s="894"/>
      <c r="E86" s="771"/>
      <c r="F86" s="771"/>
      <c r="G86" s="771"/>
      <c r="H86" s="818"/>
      <c r="I86" s="932" t="str">
        <f t="shared" si="13"/>
        <v>10.3</v>
      </c>
      <c r="J86" s="932" t="str">
        <f t="shared" si="14"/>
        <v>По нормативам потребления коммунальных услуг и нормативам потребления коммунальных ресурсов</v>
      </c>
      <c r="K86" s="932">
        <f t="shared" si="15"/>
        <v>0</v>
      </c>
      <c r="L86" s="772" t="str">
        <f t="shared" si="16"/>
        <v>10.3</v>
      </c>
      <c r="M86" s="772" t="str">
        <f t="shared" si="17"/>
        <v>По нормативам потребления коммунальных услуг и нормативам потребления коммунальных ресурсов</v>
      </c>
      <c r="N86" s="772" t="str">
        <f t="shared" si="18"/>
        <v/>
      </c>
      <c r="O86" s="884" t="s">
        <v>2391</v>
      </c>
      <c r="P86" s="884"/>
      <c r="Q86" s="884"/>
      <c r="R86" s="884"/>
      <c r="S86" s="884"/>
      <c r="T86" s="771" t="s">
        <v>2392</v>
      </c>
      <c r="U86" s="771"/>
      <c r="V86" s="771"/>
      <c r="W86" s="771"/>
      <c r="X86" s="771"/>
      <c r="Y86" s="927"/>
      <c r="Z86" s="774"/>
      <c r="AA86" s="777"/>
      <c r="AB86" s="774"/>
      <c r="AC86" s="774"/>
      <c r="AD86" s="774"/>
    </row>
    <row r="87" spans="1:30" ht="36" customHeight="1">
      <c r="A87" s="773"/>
      <c r="B87" s="826">
        <v>70</v>
      </c>
      <c r="C87" s="771" t="s">
        <v>2393</v>
      </c>
      <c r="D87" s="894"/>
      <c r="E87" s="771"/>
      <c r="F87" s="771"/>
      <c r="G87" s="771"/>
      <c r="H87" s="818"/>
      <c r="I87" s="932" t="str">
        <f t="shared" si="13"/>
        <v>11</v>
      </c>
      <c r="J87" s="93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2">
        <f t="shared" si="15"/>
        <v>0</v>
      </c>
      <c r="L87" s="772" t="str">
        <f t="shared" si="16"/>
        <v>11</v>
      </c>
      <c r="M87" s="772"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2" t="str">
        <f t="shared" si="18"/>
        <v/>
      </c>
      <c r="O87" s="884" t="s">
        <v>146</v>
      </c>
      <c r="P87" s="884"/>
      <c r="Q87" s="884"/>
      <c r="R87" s="884"/>
      <c r="S87" s="884"/>
      <c r="T87" s="771" t="s">
        <v>2394</v>
      </c>
      <c r="U87" s="771"/>
      <c r="V87" s="771"/>
      <c r="W87" s="771"/>
      <c r="X87" s="771"/>
      <c r="Y87" s="927"/>
      <c r="Z87" s="774"/>
      <c r="AA87" s="777"/>
      <c r="AB87" s="774"/>
      <c r="AC87" s="774"/>
      <c r="AD87" s="774"/>
    </row>
    <row r="88" spans="1:30" ht="18" customHeight="1">
      <c r="A88" s="773"/>
      <c r="B88" s="826">
        <v>71</v>
      </c>
      <c r="C88" s="771" t="s">
        <v>2395</v>
      </c>
      <c r="D88" s="894"/>
      <c r="E88" s="771"/>
      <c r="F88" s="771"/>
      <c r="G88" s="771"/>
      <c r="H88" s="818"/>
      <c r="I88" s="932" t="str">
        <f t="shared" si="13"/>
        <v>12</v>
      </c>
      <c r="J88" s="932" t="str">
        <f t="shared" si="14"/>
        <v>Фактический объем потерь при передаче тепловой энергии</v>
      </c>
      <c r="K88" s="932">
        <f t="shared" si="15"/>
        <v>0</v>
      </c>
      <c r="L88" s="772" t="str">
        <f t="shared" si="16"/>
        <v>12</v>
      </c>
      <c r="M88" s="772" t="str">
        <f t="shared" si="17"/>
        <v>Фактический объем потерь при передаче тепловой энергии</v>
      </c>
      <c r="N88" s="772" t="str">
        <f t="shared" si="18"/>
        <v/>
      </c>
      <c r="O88" s="884" t="s">
        <v>151</v>
      </c>
      <c r="P88" s="884"/>
      <c r="Q88" s="884"/>
      <c r="R88" s="884"/>
      <c r="S88" s="884"/>
      <c r="T88" s="771" t="s">
        <v>875</v>
      </c>
      <c r="U88" s="771"/>
      <c r="V88" s="771"/>
      <c r="W88" s="771"/>
      <c r="X88" s="771"/>
      <c r="Y88" s="927"/>
      <c r="Z88" s="774"/>
      <c r="AA88" s="777"/>
      <c r="AB88" s="774"/>
      <c r="AC88" s="774"/>
      <c r="AD88" s="774"/>
    </row>
    <row r="89" spans="1:30" ht="18" customHeight="1">
      <c r="A89" s="773"/>
      <c r="B89" s="826">
        <v>72</v>
      </c>
      <c r="C89" s="771" t="s">
        <v>2396</v>
      </c>
      <c r="D89" s="894" t="s">
        <v>2393</v>
      </c>
      <c r="E89" s="771" t="s">
        <v>2393</v>
      </c>
      <c r="F89" s="771" t="s">
        <v>2359</v>
      </c>
      <c r="G89" s="771"/>
      <c r="H89" s="818"/>
      <c r="I89" s="932" t="str">
        <f t="shared" si="13"/>
        <v>13</v>
      </c>
      <c r="J89" s="932" t="str">
        <f t="shared" si="14"/>
        <v>Среднесписочная численность основного производственного персонала</v>
      </c>
      <c r="K89" s="932">
        <f t="shared" si="15"/>
        <v>0</v>
      </c>
      <c r="L89" s="772" t="str">
        <f t="shared" si="16"/>
        <v>13</v>
      </c>
      <c r="M89" s="772" t="str">
        <f t="shared" si="17"/>
        <v>Среднесписочная численность основного производственного персонала</v>
      </c>
      <c r="N89" s="772" t="str">
        <f t="shared" si="18"/>
        <v/>
      </c>
      <c r="O89" s="884" t="s">
        <v>153</v>
      </c>
      <c r="P89" s="884" t="s">
        <v>151</v>
      </c>
      <c r="Q89" s="884" t="s">
        <v>151</v>
      </c>
      <c r="R89" s="884" t="s">
        <v>141</v>
      </c>
      <c r="S89" s="884"/>
      <c r="T89" s="771" t="s">
        <v>883</v>
      </c>
      <c r="U89" s="771" t="s">
        <v>883</v>
      </c>
      <c r="V89" s="771" t="s">
        <v>883</v>
      </c>
      <c r="W89" s="771" t="s">
        <v>883</v>
      </c>
      <c r="X89" s="771"/>
      <c r="Y89" s="927"/>
      <c r="Z89" s="774"/>
      <c r="AA89" s="777"/>
      <c r="AB89" s="774"/>
      <c r="AC89" s="774"/>
      <c r="AD89" s="774"/>
    </row>
    <row r="90" spans="1:30" ht="27" customHeight="1">
      <c r="A90" s="773"/>
      <c r="B90" s="826">
        <v>73</v>
      </c>
      <c r="C90" s="771" t="s">
        <v>2397</v>
      </c>
      <c r="D90" s="894"/>
      <c r="E90" s="771"/>
      <c r="F90" s="771"/>
      <c r="G90" s="771"/>
      <c r="H90" s="818"/>
      <c r="I90" s="932" t="str">
        <f t="shared" si="13"/>
        <v>14</v>
      </c>
      <c r="J90" s="932" t="str">
        <f t="shared" si="14"/>
        <v>Среднесписочная численность административно-управленческого персонала</v>
      </c>
      <c r="K90" s="932">
        <f t="shared" si="15"/>
        <v>0</v>
      </c>
      <c r="L90" s="772" t="str">
        <f t="shared" si="16"/>
        <v>14</v>
      </c>
      <c r="M90" s="772" t="str">
        <f t="shared" si="17"/>
        <v>Среднесписочная численность административно-управленческого персонала</v>
      </c>
      <c r="N90" s="772" t="str">
        <f t="shared" si="18"/>
        <v/>
      </c>
      <c r="O90" s="884" t="s">
        <v>155</v>
      </c>
      <c r="P90" s="884"/>
      <c r="Q90" s="884"/>
      <c r="R90" s="884"/>
      <c r="S90" s="884"/>
      <c r="T90" s="771" t="s">
        <v>885</v>
      </c>
      <c r="U90" s="771"/>
      <c r="V90" s="771"/>
      <c r="W90" s="771"/>
      <c r="X90" s="771"/>
      <c r="Y90" s="927"/>
      <c r="Z90" s="774"/>
      <c r="AA90" s="777"/>
      <c r="AB90" s="774"/>
      <c r="AC90" s="774"/>
      <c r="AD90" s="774"/>
    </row>
    <row r="91" spans="1:30" ht="18" customHeight="1">
      <c r="A91" s="773"/>
      <c r="B91" s="826">
        <v>74</v>
      </c>
      <c r="C91" s="771"/>
      <c r="D91" s="894" t="s">
        <v>2395</v>
      </c>
      <c r="E91" s="771" t="s">
        <v>2395</v>
      </c>
      <c r="F91" s="771"/>
      <c r="G91" s="771"/>
      <c r="H91" s="818"/>
      <c r="I91" s="932">
        <f t="shared" si="13"/>
        <v>0</v>
      </c>
      <c r="J91" s="932">
        <f t="shared" si="14"/>
        <v>0</v>
      </c>
      <c r="K91" s="932">
        <f t="shared" si="15"/>
        <v>0</v>
      </c>
      <c r="L91" s="772" t="str">
        <f t="shared" si="16"/>
        <v/>
      </c>
      <c r="M91" s="772" t="str">
        <f t="shared" si="17"/>
        <v/>
      </c>
      <c r="N91" s="772" t="str">
        <f t="shared" si="18"/>
        <v/>
      </c>
      <c r="O91" s="884"/>
      <c r="P91" s="884" t="s">
        <v>153</v>
      </c>
      <c r="Q91" s="884" t="s">
        <v>153</v>
      </c>
      <c r="R91" s="884"/>
      <c r="S91" s="884"/>
      <c r="T91" s="771"/>
      <c r="U91" s="771" t="s">
        <v>2398</v>
      </c>
      <c r="V91" s="771" t="s">
        <v>2398</v>
      </c>
      <c r="W91" s="771"/>
      <c r="X91" s="771"/>
      <c r="Y91" s="927"/>
      <c r="Z91" s="774"/>
      <c r="AA91" s="777"/>
      <c r="AB91" s="774"/>
      <c r="AC91" s="774"/>
      <c r="AD91" s="774"/>
    </row>
    <row r="92" spans="1:30" ht="27" customHeight="1">
      <c r="A92" s="773"/>
      <c r="B92" s="826">
        <v>75</v>
      </c>
      <c r="C92" s="771"/>
      <c r="D92" s="894" t="s">
        <v>2396</v>
      </c>
      <c r="E92" s="771"/>
      <c r="F92" s="771"/>
      <c r="G92" s="771"/>
      <c r="H92" s="818"/>
      <c r="I92" s="932">
        <f t="shared" si="13"/>
        <v>0</v>
      </c>
      <c r="J92" s="932">
        <f t="shared" si="14"/>
        <v>0</v>
      </c>
      <c r="K92" s="932">
        <f t="shared" si="15"/>
        <v>0</v>
      </c>
      <c r="L92" s="772" t="str">
        <f t="shared" si="16"/>
        <v/>
      </c>
      <c r="M92" s="772" t="str">
        <f t="shared" si="17"/>
        <v/>
      </c>
      <c r="N92" s="772" t="str">
        <f t="shared" si="18"/>
        <v/>
      </c>
      <c r="O92" s="884"/>
      <c r="P92" s="884" t="s">
        <v>155</v>
      </c>
      <c r="Q92" s="884"/>
      <c r="R92" s="884"/>
      <c r="S92" s="884"/>
      <c r="T92" s="771"/>
      <c r="U92" s="771" t="s">
        <v>2399</v>
      </c>
      <c r="V92" s="771"/>
      <c r="W92" s="771"/>
      <c r="X92" s="771"/>
      <c r="Y92" s="927"/>
      <c r="Z92" s="774"/>
      <c r="AA92" s="777" t="s">
        <v>2400</v>
      </c>
      <c r="AB92" s="774"/>
      <c r="AC92" s="774"/>
      <c r="AD92" s="774"/>
    </row>
    <row r="93" spans="1:30" ht="27" customHeight="1">
      <c r="A93" s="773"/>
      <c r="B93" s="826">
        <v>76</v>
      </c>
      <c r="C93" s="771"/>
      <c r="D93" s="894"/>
      <c r="E93" s="771"/>
      <c r="F93" s="771"/>
      <c r="G93" s="771"/>
      <c r="H93" s="818"/>
      <c r="I93" s="932">
        <f t="shared" si="13"/>
        <v>0</v>
      </c>
      <c r="J93" s="932">
        <f t="shared" si="14"/>
        <v>0</v>
      </c>
      <c r="K93" s="932">
        <f t="shared" si="15"/>
        <v>0</v>
      </c>
      <c r="L93" s="772" t="str">
        <f t="shared" si="16"/>
        <v/>
      </c>
      <c r="M93" s="772" t="str">
        <f t="shared" si="17"/>
        <v/>
      </c>
      <c r="N93" s="772" t="str">
        <f t="shared" si="18"/>
        <v/>
      </c>
      <c r="O93" s="884"/>
      <c r="P93" s="884" t="s">
        <v>2306</v>
      </c>
      <c r="Q93" s="884"/>
      <c r="R93" s="884"/>
      <c r="S93" s="884"/>
      <c r="T93" s="771"/>
      <c r="U93" s="771" t="s">
        <v>2401</v>
      </c>
      <c r="V93" s="771"/>
      <c r="W93" s="771"/>
      <c r="X93" s="771"/>
      <c r="Y93" s="927"/>
      <c r="Z93" s="774"/>
      <c r="AA93" s="777" t="s">
        <v>2402</v>
      </c>
      <c r="AB93" s="774"/>
      <c r="AC93" s="774"/>
      <c r="AD93" s="774"/>
    </row>
    <row r="94" spans="1:30" ht="45" customHeight="1">
      <c r="A94" s="773"/>
      <c r="B94" s="826">
        <v>77</v>
      </c>
      <c r="C94" s="771"/>
      <c r="D94" s="894" t="s">
        <v>2397</v>
      </c>
      <c r="E94" s="771"/>
      <c r="F94" s="771"/>
      <c r="G94" s="771"/>
      <c r="H94" s="818"/>
      <c r="I94" s="932">
        <f t="shared" si="13"/>
        <v>0</v>
      </c>
      <c r="J94" s="932">
        <f t="shared" si="14"/>
        <v>0</v>
      </c>
      <c r="K94" s="932">
        <f t="shared" si="15"/>
        <v>0</v>
      </c>
      <c r="L94" s="772" t="str">
        <f t="shared" si="16"/>
        <v/>
      </c>
      <c r="M94" s="772" t="str">
        <f t="shared" si="17"/>
        <v/>
      </c>
      <c r="N94" s="772" t="str">
        <f t="shared" si="18"/>
        <v/>
      </c>
      <c r="O94" s="884"/>
      <c r="P94" s="884" t="s">
        <v>157</v>
      </c>
      <c r="Q94" s="884"/>
      <c r="R94" s="884"/>
      <c r="S94" s="884"/>
      <c r="T94" s="771"/>
      <c r="U94" s="771" t="s">
        <v>2403</v>
      </c>
      <c r="V94" s="771"/>
      <c r="W94" s="771"/>
      <c r="X94" s="771"/>
      <c r="Y94" s="927"/>
      <c r="Z94" s="774"/>
      <c r="AA94" s="777" t="s">
        <v>2404</v>
      </c>
      <c r="AB94" s="774"/>
      <c r="AC94" s="774"/>
      <c r="AD94" s="774"/>
    </row>
    <row r="95" spans="1:30" ht="99" customHeight="1">
      <c r="A95" s="773"/>
      <c r="B95" s="826">
        <v>78</v>
      </c>
      <c r="C95" s="771" t="s">
        <v>2405</v>
      </c>
      <c r="D95" s="894"/>
      <c r="E95" s="771"/>
      <c r="F95" s="771"/>
      <c r="G95" s="771"/>
      <c r="H95" s="818"/>
      <c r="I95" s="932" t="str">
        <f t="shared" si="13"/>
        <v>15</v>
      </c>
      <c r="J95" s="93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2">
        <f t="shared" si="15"/>
        <v>0</v>
      </c>
      <c r="L95" s="772" t="str">
        <f t="shared" si="16"/>
        <v>15</v>
      </c>
      <c r="M95" s="772"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2" t="str">
        <f t="shared" si="18"/>
        <v/>
      </c>
      <c r="O95" s="884" t="s">
        <v>157</v>
      </c>
      <c r="P95" s="884"/>
      <c r="Q95" s="884"/>
      <c r="R95" s="884"/>
      <c r="S95" s="884"/>
      <c r="T95" s="771" t="s">
        <v>2406</v>
      </c>
      <c r="U95" s="771"/>
      <c r="V95" s="771"/>
      <c r="W95" s="771"/>
      <c r="X95" s="771"/>
      <c r="Y95" s="927"/>
      <c r="Z95" s="774"/>
      <c r="AA95" s="777"/>
      <c r="AB95" s="774"/>
      <c r="AC95" s="774"/>
      <c r="AD95" s="774"/>
    </row>
    <row r="96" spans="1:30" ht="99" customHeight="1">
      <c r="A96" s="773"/>
      <c r="B96" s="826">
        <v>79</v>
      </c>
      <c r="C96" s="771" t="s">
        <v>1356</v>
      </c>
      <c r="D96" s="894"/>
      <c r="E96" s="771"/>
      <c r="F96" s="771"/>
      <c r="G96" s="771"/>
      <c r="H96" s="818"/>
      <c r="I96" s="932" t="str">
        <f t="shared" si="13"/>
        <v>16</v>
      </c>
      <c r="J96" s="93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2" t="str">
        <f t="shared" si="16"/>
        <v>16</v>
      </c>
      <c r="M96" s="772"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2"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4" t="s">
        <v>159</v>
      </c>
      <c r="P96" s="884"/>
      <c r="Q96" s="884"/>
      <c r="R96" s="884"/>
      <c r="S96" s="884"/>
      <c r="T96" s="771" t="s">
        <v>2407</v>
      </c>
      <c r="U96" s="771"/>
      <c r="V96" s="771"/>
      <c r="W96" s="771"/>
      <c r="X96" s="771"/>
      <c r="Y96" s="927"/>
      <c r="Z96" s="774" t="s">
        <v>2408</v>
      </c>
      <c r="AA96" s="777"/>
      <c r="AB96" s="774"/>
      <c r="AC96" s="774"/>
      <c r="AD96" s="774"/>
    </row>
    <row r="97" spans="1:30" ht="63" customHeight="1">
      <c r="A97" s="773"/>
      <c r="B97" s="826">
        <v>80</v>
      </c>
      <c r="C97" s="771" t="s">
        <v>2409</v>
      </c>
      <c r="D97" s="894"/>
      <c r="E97" s="771"/>
      <c r="F97" s="771"/>
      <c r="G97" s="771"/>
      <c r="H97" s="818"/>
      <c r="I97" s="932" t="str">
        <f t="shared" si="13"/>
        <v>17</v>
      </c>
      <c r="J97" s="93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2" t="str">
        <f t="shared" si="15"/>
        <v>Регулируемыми организациями указывается информация с по договорам, заключенным в рамках осуществления регулируемой деятельности.</v>
      </c>
      <c r="L97" s="772" t="str">
        <f t="shared" si="16"/>
        <v>17</v>
      </c>
      <c r="M97" s="772"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2" t="str">
        <f t="shared" si="18"/>
        <v>Регулируемыми организациями указывается информация с по договорам, заключенным в рамках осуществления регулируемой деятельности.</v>
      </c>
      <c r="O97" s="884" t="s">
        <v>92</v>
      </c>
      <c r="P97" s="884"/>
      <c r="Q97" s="884"/>
      <c r="R97" s="884"/>
      <c r="S97" s="884"/>
      <c r="T97" s="771" t="s">
        <v>2410</v>
      </c>
      <c r="U97" s="771"/>
      <c r="V97" s="771"/>
      <c r="W97" s="771"/>
      <c r="X97" s="771"/>
      <c r="Y97" s="927"/>
      <c r="Z97" s="774" t="s">
        <v>2411</v>
      </c>
      <c r="AA97" s="777"/>
      <c r="AB97" s="774"/>
      <c r="AC97" s="774"/>
      <c r="AD97" s="774"/>
    </row>
    <row r="98" spans="1:30" ht="63" customHeight="1">
      <c r="A98" s="773"/>
      <c r="B98" s="826">
        <v>81</v>
      </c>
      <c r="C98" s="771" t="s">
        <v>2412</v>
      </c>
      <c r="D98" s="894"/>
      <c r="E98" s="771"/>
      <c r="F98" s="771"/>
      <c r="G98" s="771"/>
      <c r="H98" s="818"/>
      <c r="I98" s="932" t="str">
        <f t="shared" si="13"/>
        <v>18</v>
      </c>
      <c r="J98" s="93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2" t="str">
        <f t="shared" si="15"/>
        <v>Регулируемыми организациями указывается информация с по договорам, заключенным в рамках осуществления регулируемой деятельности.</v>
      </c>
      <c r="L98" s="772" t="str">
        <f t="shared" si="16"/>
        <v>18</v>
      </c>
      <c r="M98" s="772"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2" t="str">
        <f t="shared" si="18"/>
        <v>Регулируемыми организациями указывается информация с по договорам, заключенным в рамках осуществления регулируемой деятельности.</v>
      </c>
      <c r="O98" s="884" t="s">
        <v>162</v>
      </c>
      <c r="P98" s="884"/>
      <c r="Q98" s="884"/>
      <c r="R98" s="884"/>
      <c r="S98" s="884"/>
      <c r="T98" s="771" t="s">
        <v>2413</v>
      </c>
      <c r="U98" s="771"/>
      <c r="V98" s="771"/>
      <c r="W98" s="771"/>
      <c r="X98" s="771"/>
      <c r="Y98" s="927"/>
      <c r="Z98" s="774" t="s">
        <v>2411</v>
      </c>
      <c r="AA98" s="777"/>
      <c r="AB98" s="774"/>
      <c r="AC98" s="774"/>
      <c r="AD98" s="774"/>
    </row>
    <row r="99" spans="1:30" ht="90" customHeight="1">
      <c r="A99" s="773"/>
      <c r="B99" s="826">
        <v>82</v>
      </c>
      <c r="C99" s="771" t="s">
        <v>2414</v>
      </c>
      <c r="D99" s="894"/>
      <c r="E99" s="771"/>
      <c r="F99" s="771"/>
      <c r="G99" s="771"/>
      <c r="H99" s="818"/>
      <c r="I99" s="932" t="str">
        <f t="shared" si="13"/>
        <v>19</v>
      </c>
      <c r="J99" s="93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2" t="str">
        <f t="shared" si="15"/>
        <v>Указывается ссылка на документ, предварительно загруженный в хранилище файлов ФГИС ЕИАС.</v>
      </c>
      <c r="L99" s="772" t="str">
        <f t="shared" si="16"/>
        <v>19</v>
      </c>
      <c r="M99" s="772"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2" t="str">
        <f t="shared" si="18"/>
        <v>Указывается ссылка на документ, предварительно загруженный в хранилище файлов ФГИС ЕИАС.</v>
      </c>
      <c r="O99" s="884" t="s">
        <v>164</v>
      </c>
      <c r="P99" s="884"/>
      <c r="Q99" s="884"/>
      <c r="R99" s="884"/>
      <c r="S99" s="884"/>
      <c r="T99" s="771" t="s">
        <v>2415</v>
      </c>
      <c r="U99" s="771"/>
      <c r="V99" s="771"/>
      <c r="W99" s="771"/>
      <c r="X99" s="771"/>
      <c r="Y99" s="927"/>
      <c r="Z99" s="774" t="s">
        <v>840</v>
      </c>
      <c r="AA99" s="777"/>
      <c r="AB99" s="774"/>
      <c r="AC99" s="774"/>
      <c r="AD99" s="774"/>
    </row>
    <row r="100" spans="1:30" ht="27" customHeight="1">
      <c r="A100" s="773"/>
      <c r="B100" s="826">
        <v>83</v>
      </c>
      <c r="C100" s="771"/>
      <c r="D100" s="894"/>
      <c r="E100" s="771"/>
      <c r="F100" s="771"/>
      <c r="G100" s="771"/>
      <c r="H100" s="818"/>
      <c r="I100" s="932" t="str">
        <f t="shared" si="13"/>
        <v>19.1</v>
      </c>
      <c r="J100" s="932" t="str">
        <f t="shared" si="14"/>
        <v>Информация о показателях физического износа объектов теплоснабжения</v>
      </c>
      <c r="K100" s="932" t="str">
        <f t="shared" si="15"/>
        <v>Указывается ссылка на документ, предварительно загруженный в хранилище файлов ФГИС ЕИАС.</v>
      </c>
      <c r="L100" s="772" t="str">
        <f t="shared" si="16"/>
        <v>19.1</v>
      </c>
      <c r="M100" s="772" t="str">
        <f t="shared" si="17"/>
        <v>Информация о показателях физического износа объектов теплоснабжения</v>
      </c>
      <c r="N100" s="772" t="str">
        <f t="shared" si="18"/>
        <v>Указывается ссылка на документ, предварительно загруженный в хранилище файлов ФГИС ЕИАС.</v>
      </c>
      <c r="O100" s="884" t="s">
        <v>2416</v>
      </c>
      <c r="P100" s="884"/>
      <c r="Q100" s="884"/>
      <c r="R100" s="884"/>
      <c r="S100" s="884"/>
      <c r="T100" s="771" t="s">
        <v>2417</v>
      </c>
      <c r="U100" s="771"/>
      <c r="V100" s="771"/>
      <c r="W100" s="771"/>
      <c r="X100" s="771"/>
      <c r="Y100" s="927"/>
      <c r="Z100" s="774" t="s">
        <v>840</v>
      </c>
      <c r="AA100" s="777"/>
      <c r="AB100" s="774"/>
      <c r="AC100" s="774"/>
      <c r="AD100" s="774"/>
    </row>
    <row r="101" spans="1:30" ht="27" customHeight="1">
      <c r="A101" s="773"/>
      <c r="B101" s="826">
        <v>84</v>
      </c>
      <c r="C101" s="771"/>
      <c r="D101" s="894"/>
      <c r="E101" s="771"/>
      <c r="F101" s="771"/>
      <c r="G101" s="771"/>
      <c r="H101" s="818"/>
      <c r="I101" s="932" t="str">
        <f t="shared" si="13"/>
        <v>19.2</v>
      </c>
      <c r="J101" s="932" t="str">
        <f t="shared" si="14"/>
        <v>Информация о показателях энергетической эффективности объектов теплоснабжения</v>
      </c>
      <c r="K101" s="932" t="str">
        <f t="shared" si="15"/>
        <v>Указывается ссылка на документ, предварительно загруженный в хранилище файлов ФГИС ЕИАС.</v>
      </c>
      <c r="L101" s="772" t="str">
        <f t="shared" si="16"/>
        <v>19.2</v>
      </c>
      <c r="M101" s="772" t="str">
        <f t="shared" si="17"/>
        <v>Информация о показателях энергетической эффективности объектов теплоснабжения</v>
      </c>
      <c r="N101" s="772" t="str">
        <f t="shared" si="18"/>
        <v>Указывается ссылка на документ, предварительно загруженный в хранилище файлов ФГИС ЕИАС.</v>
      </c>
      <c r="O101" s="884" t="s">
        <v>2418</v>
      </c>
      <c r="P101" s="884"/>
      <c r="Q101" s="884"/>
      <c r="R101" s="884"/>
      <c r="S101" s="884"/>
      <c r="T101" s="771" t="s">
        <v>2419</v>
      </c>
      <c r="U101" s="771"/>
      <c r="V101" s="771"/>
      <c r="W101" s="771"/>
      <c r="X101" s="771"/>
      <c r="Y101" s="927"/>
      <c r="Z101" s="774" t="s">
        <v>840</v>
      </c>
      <c r="AA101" s="777"/>
      <c r="AB101" s="774"/>
      <c r="AC101" s="774"/>
      <c r="AD101" s="774"/>
    </row>
    <row r="102" spans="1:30" ht="9" customHeight="1">
      <c r="A102" s="773"/>
      <c r="B102" s="773"/>
      <c r="C102" s="771"/>
      <c r="D102" s="771"/>
      <c r="E102" s="771"/>
      <c r="F102" s="771"/>
      <c r="G102" s="771"/>
      <c r="H102" s="818"/>
      <c r="I102" s="818"/>
      <c r="J102" s="818"/>
      <c r="K102" s="818"/>
      <c r="L102" s="818"/>
      <c r="M102" s="771"/>
      <c r="N102" s="817"/>
      <c r="O102" s="884"/>
      <c r="P102" s="884"/>
      <c r="Q102" s="884"/>
      <c r="R102" s="884"/>
      <c r="S102" s="771"/>
      <c r="T102" s="771"/>
      <c r="U102" s="771"/>
      <c r="V102" s="771"/>
      <c r="W102" s="771"/>
      <c r="X102" s="771"/>
      <c r="Y102" s="927"/>
      <c r="Z102" s="774"/>
      <c r="AA102" s="777"/>
      <c r="AB102" s="774"/>
      <c r="AC102" s="774"/>
      <c r="AD102" s="774"/>
    </row>
    <row r="103" spans="1:30" ht="9" customHeight="1">
      <c r="A103" s="773"/>
      <c r="B103" s="773"/>
      <c r="C103" s="771"/>
      <c r="D103" s="771"/>
      <c r="E103" s="771"/>
      <c r="F103" s="771"/>
      <c r="G103" s="771"/>
      <c r="H103" s="818"/>
      <c r="I103" s="818"/>
      <c r="J103" s="818"/>
      <c r="K103" s="818"/>
      <c r="L103" s="818"/>
      <c r="M103" s="771"/>
      <c r="N103" s="817"/>
      <c r="O103" s="884"/>
      <c r="P103" s="884"/>
      <c r="Q103" s="884"/>
      <c r="R103" s="884"/>
      <c r="S103" s="771"/>
      <c r="T103" s="771"/>
      <c r="U103" s="771"/>
      <c r="V103" s="771"/>
      <c r="W103" s="771"/>
      <c r="X103" s="771"/>
      <c r="Y103" s="927"/>
      <c r="Z103" s="774"/>
      <c r="AA103" s="777"/>
      <c r="AB103" s="774"/>
      <c r="AC103" s="774"/>
      <c r="AD103" s="774"/>
    </row>
    <row r="104" spans="1:30" ht="9" customHeight="1">
      <c r="A104" s="773"/>
      <c r="B104" s="773"/>
      <c r="C104" s="771"/>
      <c r="D104" s="771"/>
      <c r="E104" s="771"/>
      <c r="F104" s="771"/>
      <c r="G104" s="771"/>
      <c r="H104" s="818"/>
      <c r="I104" s="818"/>
      <c r="J104" s="818"/>
      <c r="K104" s="818"/>
      <c r="L104" s="818"/>
      <c r="M104" s="771"/>
      <c r="N104" s="817"/>
      <c r="O104" s="884"/>
      <c r="P104" s="884"/>
      <c r="Q104" s="884"/>
      <c r="R104" s="884"/>
      <c r="S104" s="771"/>
      <c r="T104" s="771"/>
      <c r="U104" s="771"/>
      <c r="V104" s="771"/>
      <c r="W104" s="771"/>
      <c r="X104" s="771"/>
      <c r="Y104" s="927"/>
      <c r="Z104" s="774"/>
      <c r="AA104" s="777"/>
      <c r="AB104" s="774"/>
      <c r="AC104" s="774"/>
      <c r="AD104" s="774"/>
    </row>
    <row r="105" spans="1:30" ht="9" customHeight="1">
      <c r="A105" s="773"/>
      <c r="B105" s="773"/>
      <c r="C105" s="771"/>
      <c r="D105" s="771"/>
      <c r="E105" s="771"/>
      <c r="F105" s="771"/>
      <c r="G105" s="771"/>
      <c r="H105" s="818"/>
      <c r="I105" s="818"/>
      <c r="J105" s="818"/>
      <c r="K105" s="818"/>
      <c r="L105" s="818"/>
      <c r="M105" s="771"/>
      <c r="N105" s="817"/>
      <c r="O105" s="884"/>
      <c r="P105" s="884"/>
      <c r="Q105" s="884"/>
      <c r="R105" s="884"/>
      <c r="S105" s="771"/>
      <c r="T105" s="771"/>
      <c r="U105" s="771"/>
      <c r="V105" s="771"/>
      <c r="W105" s="771"/>
      <c r="X105" s="771"/>
      <c r="Y105" s="927"/>
      <c r="Z105" s="774"/>
      <c r="AA105" s="777"/>
      <c r="AB105" s="774"/>
      <c r="AC105" s="774"/>
      <c r="AD105" s="774"/>
    </row>
    <row r="106" spans="1:30" ht="9" customHeight="1">
      <c r="A106" s="773"/>
      <c r="B106" s="773"/>
      <c r="C106" s="771"/>
      <c r="D106" s="771"/>
      <c r="E106" s="771"/>
      <c r="F106" s="771"/>
      <c r="G106" s="771"/>
      <c r="H106" s="818"/>
      <c r="I106" s="818"/>
      <c r="J106" s="818"/>
      <c r="K106" s="818"/>
      <c r="L106" s="818"/>
      <c r="M106" s="771"/>
      <c r="N106" s="817"/>
      <c r="O106" s="884"/>
      <c r="P106" s="884"/>
      <c r="Q106" s="884"/>
      <c r="R106" s="884"/>
      <c r="S106" s="771"/>
      <c r="T106" s="771"/>
      <c r="U106" s="771"/>
      <c r="V106" s="771"/>
      <c r="W106" s="771"/>
      <c r="X106" s="771"/>
      <c r="Y106" s="927"/>
      <c r="Z106" s="774"/>
      <c r="AA106" s="777"/>
      <c r="AB106" s="774"/>
      <c r="AC106" s="774"/>
      <c r="AD106" s="774"/>
    </row>
    <row r="107" spans="1:30" ht="9" customHeight="1">
      <c r="A107" s="773"/>
      <c r="B107" s="773"/>
      <c r="C107" s="771"/>
      <c r="D107" s="771"/>
      <c r="E107" s="771"/>
      <c r="F107" s="771"/>
      <c r="G107" s="771"/>
      <c r="H107" s="818"/>
      <c r="I107" s="818"/>
      <c r="J107" s="818"/>
      <c r="K107" s="818"/>
      <c r="L107" s="818"/>
      <c r="M107" s="771"/>
      <c r="N107" s="817"/>
      <c r="O107" s="884"/>
      <c r="P107" s="884"/>
      <c r="Q107" s="884"/>
      <c r="R107" s="884"/>
      <c r="S107" s="771"/>
      <c r="T107" s="771"/>
      <c r="U107" s="771"/>
      <c r="V107" s="771"/>
      <c r="W107" s="771"/>
      <c r="X107" s="771"/>
      <c r="Y107" s="927"/>
      <c r="Z107" s="774"/>
      <c r="AA107" s="777"/>
      <c r="AB107" s="774"/>
      <c r="AC107" s="774"/>
      <c r="AD107" s="774"/>
    </row>
    <row r="108" spans="1:30" ht="9" customHeight="1">
      <c r="A108" s="773"/>
      <c r="B108" s="773"/>
      <c r="C108" s="771"/>
      <c r="D108" s="771"/>
      <c r="E108" s="771"/>
      <c r="F108" s="771"/>
      <c r="G108" s="771"/>
      <c r="H108" s="818"/>
      <c r="I108" s="818"/>
      <c r="J108" s="818"/>
      <c r="K108" s="818"/>
      <c r="L108" s="818"/>
      <c r="M108" s="771"/>
      <c r="N108" s="817"/>
      <c r="O108" s="884"/>
      <c r="P108" s="884"/>
      <c r="Q108" s="884"/>
      <c r="R108" s="884"/>
      <c r="S108" s="771"/>
      <c r="T108" s="771"/>
      <c r="U108" s="771"/>
      <c r="V108" s="771"/>
      <c r="W108" s="771"/>
      <c r="X108" s="771"/>
      <c r="Y108" s="927"/>
      <c r="Z108" s="774"/>
      <c r="AA108" s="777"/>
      <c r="AB108" s="774"/>
      <c r="AC108" s="774"/>
      <c r="AD108" s="774"/>
    </row>
    <row r="109" spans="1:30" ht="9" customHeight="1">
      <c r="A109" s="773"/>
      <c r="B109" s="773"/>
      <c r="C109" s="771"/>
      <c r="D109" s="771"/>
      <c r="E109" s="771"/>
      <c r="F109" s="771"/>
      <c r="G109" s="771"/>
      <c r="H109" s="818"/>
      <c r="I109" s="818"/>
      <c r="J109" s="818"/>
      <c r="K109" s="818"/>
      <c r="L109" s="818"/>
      <c r="M109" s="771"/>
      <c r="N109" s="817"/>
      <c r="O109" s="884"/>
      <c r="P109" s="884"/>
      <c r="Q109" s="884"/>
      <c r="R109" s="884"/>
      <c r="S109" s="771"/>
      <c r="T109" s="771"/>
      <c r="U109" s="771"/>
      <c r="V109" s="771"/>
      <c r="W109" s="771"/>
      <c r="X109" s="771"/>
      <c r="Y109" s="927"/>
      <c r="Z109" s="774"/>
      <c r="AA109" s="777"/>
      <c r="AB109" s="774"/>
      <c r="AC109" s="774"/>
      <c r="AD109" s="774"/>
    </row>
    <row r="110" spans="1:30" ht="9" customHeight="1">
      <c r="A110" s="773"/>
      <c r="B110" s="773"/>
      <c r="C110" s="771"/>
      <c r="D110" s="771"/>
      <c r="E110" s="771"/>
      <c r="F110" s="771"/>
      <c r="G110" s="771"/>
      <c r="H110" s="818"/>
      <c r="I110" s="818"/>
      <c r="J110" s="818"/>
      <c r="K110" s="818"/>
      <c r="L110" s="818"/>
      <c r="M110" s="771"/>
      <c r="N110" s="817"/>
      <c r="O110" s="884"/>
      <c r="P110" s="884"/>
      <c r="Q110" s="884"/>
      <c r="R110" s="884"/>
      <c r="S110" s="771"/>
      <c r="T110" s="771"/>
      <c r="U110" s="771"/>
      <c r="V110" s="771"/>
      <c r="W110" s="771"/>
      <c r="X110" s="771"/>
      <c r="Y110" s="927"/>
      <c r="Z110" s="774"/>
      <c r="AA110" s="777"/>
      <c r="AB110" s="774"/>
      <c r="AC110" s="774"/>
      <c r="AD110" s="774"/>
    </row>
    <row r="111" spans="1:30" ht="9" customHeight="1">
      <c r="A111" s="773"/>
      <c r="B111" s="773"/>
      <c r="C111" s="771"/>
      <c r="D111" s="771"/>
      <c r="E111" s="771"/>
      <c r="F111" s="771"/>
      <c r="G111" s="771"/>
      <c r="H111" s="818"/>
      <c r="I111" s="818"/>
      <c r="J111" s="818"/>
      <c r="K111" s="818"/>
      <c r="L111" s="818"/>
      <c r="M111" s="771"/>
      <c r="N111" s="817"/>
      <c r="O111" s="884"/>
      <c r="P111" s="884"/>
      <c r="Q111" s="884"/>
      <c r="R111" s="884"/>
      <c r="S111" s="771"/>
      <c r="T111" s="771"/>
      <c r="U111" s="771"/>
      <c r="V111" s="771"/>
      <c r="W111" s="771"/>
      <c r="X111" s="771"/>
      <c r="Y111" s="927"/>
      <c r="Z111" s="774"/>
      <c r="AA111" s="777"/>
      <c r="AB111" s="774"/>
      <c r="AC111" s="774"/>
      <c r="AD111" s="774"/>
    </row>
    <row r="112" spans="1:30" ht="9" customHeight="1">
      <c r="A112" s="773"/>
      <c r="B112" s="773"/>
      <c r="C112" s="771"/>
      <c r="D112" s="771"/>
      <c r="E112" s="771"/>
      <c r="F112" s="771"/>
      <c r="G112" s="771"/>
      <c r="H112" s="818"/>
      <c r="I112" s="818"/>
      <c r="J112" s="818"/>
      <c r="K112" s="818"/>
      <c r="L112" s="818"/>
      <c r="M112" s="771"/>
      <c r="N112" s="817"/>
      <c r="O112" s="884"/>
      <c r="P112" s="884"/>
      <c r="Q112" s="884"/>
      <c r="R112" s="884"/>
      <c r="S112" s="771"/>
      <c r="T112" s="771"/>
      <c r="U112" s="771"/>
      <c r="V112" s="771"/>
      <c r="W112" s="771"/>
      <c r="X112" s="771"/>
      <c r="Y112" s="927"/>
      <c r="Z112" s="774"/>
      <c r="AA112" s="777"/>
      <c r="AB112" s="774"/>
      <c r="AC112" s="774"/>
      <c r="AD112" s="774"/>
    </row>
    <row r="113" spans="1:30" ht="9" customHeight="1">
      <c r="A113" s="773"/>
      <c r="B113" s="773"/>
      <c r="C113" s="771"/>
      <c r="D113" s="771"/>
      <c r="E113" s="771"/>
      <c r="F113" s="771"/>
      <c r="G113" s="771"/>
      <c r="H113" s="818"/>
      <c r="I113" s="818"/>
      <c r="J113" s="818"/>
      <c r="K113" s="818"/>
      <c r="L113" s="818"/>
      <c r="M113" s="771"/>
      <c r="N113" s="817"/>
      <c r="O113" s="884"/>
      <c r="P113" s="884"/>
      <c r="Q113" s="884"/>
      <c r="R113" s="884"/>
      <c r="S113" s="771"/>
      <c r="T113" s="771"/>
      <c r="U113" s="771"/>
      <c r="V113" s="771"/>
      <c r="W113" s="771"/>
      <c r="X113" s="771"/>
      <c r="Y113" s="927"/>
      <c r="Z113" s="774"/>
      <c r="AA113" s="777"/>
      <c r="AB113" s="774"/>
      <c r="AC113" s="774"/>
      <c r="AD113" s="774"/>
    </row>
    <row r="114" spans="1:30" ht="9" customHeight="1">
      <c r="A114" s="773"/>
      <c r="B114" s="773"/>
      <c r="C114" s="771"/>
      <c r="D114" s="771"/>
      <c r="E114" s="771"/>
      <c r="F114" s="771"/>
      <c r="G114" s="771"/>
      <c r="H114" s="818"/>
      <c r="I114" s="818"/>
      <c r="J114" s="818"/>
      <c r="K114" s="818"/>
      <c r="L114" s="818"/>
      <c r="M114" s="771"/>
      <c r="N114" s="817"/>
      <c r="O114" s="884"/>
      <c r="P114" s="884"/>
      <c r="Q114" s="884"/>
      <c r="R114" s="884"/>
      <c r="S114" s="771"/>
      <c r="T114" s="771"/>
      <c r="U114" s="771"/>
      <c r="V114" s="771"/>
      <c r="W114" s="771"/>
      <c r="X114" s="771"/>
      <c r="Y114" s="927"/>
      <c r="Z114" s="774"/>
      <c r="AA114" s="777"/>
      <c r="AB114" s="774"/>
      <c r="AC114" s="774"/>
      <c r="AD114" s="774"/>
    </row>
    <row r="115" spans="1:30" ht="9" customHeight="1">
      <c r="A115" s="773"/>
      <c r="B115" s="773"/>
      <c r="C115" s="771"/>
      <c r="D115" s="771"/>
      <c r="E115" s="771"/>
      <c r="F115" s="771"/>
      <c r="G115" s="771"/>
      <c r="H115" s="818"/>
      <c r="I115" s="818"/>
      <c r="J115" s="818"/>
      <c r="K115" s="818"/>
      <c r="L115" s="818"/>
      <c r="M115" s="771"/>
      <c r="N115" s="817"/>
      <c r="O115" s="884"/>
      <c r="P115" s="884"/>
      <c r="Q115" s="884"/>
      <c r="R115" s="884"/>
      <c r="S115" s="771"/>
      <c r="T115" s="771"/>
      <c r="U115" s="771"/>
      <c r="V115" s="771"/>
      <c r="W115" s="771"/>
      <c r="X115" s="771"/>
      <c r="Y115" s="927"/>
      <c r="Z115" s="774"/>
      <c r="AA115" s="777"/>
      <c r="AB115" s="774"/>
      <c r="AC115" s="774"/>
      <c r="AD115" s="774"/>
    </row>
    <row r="116" spans="1:30" ht="9" customHeight="1">
      <c r="A116" s="773"/>
      <c r="B116" s="773"/>
      <c r="C116" s="771"/>
      <c r="D116" s="771"/>
      <c r="E116" s="771"/>
      <c r="F116" s="771"/>
      <c r="G116" s="771"/>
      <c r="H116" s="818"/>
      <c r="I116" s="818"/>
      <c r="J116" s="818"/>
      <c r="K116" s="818"/>
      <c r="L116" s="818"/>
      <c r="M116" s="771"/>
      <c r="N116" s="817"/>
      <c r="O116" s="884"/>
      <c r="P116" s="884"/>
      <c r="Q116" s="884"/>
      <c r="R116" s="884"/>
      <c r="S116" s="771"/>
      <c r="T116" s="771"/>
      <c r="U116" s="771"/>
      <c r="V116" s="771"/>
      <c r="W116" s="771"/>
      <c r="X116" s="771"/>
      <c r="Y116" s="927"/>
      <c r="Z116" s="774"/>
      <c r="AA116" s="777"/>
      <c r="AB116" s="774"/>
      <c r="AC116" s="774"/>
      <c r="AD116" s="774"/>
    </row>
    <row r="117" spans="1:30" ht="9" customHeight="1">
      <c r="A117" s="773"/>
      <c r="B117" s="773"/>
      <c r="C117" s="771"/>
      <c r="D117" s="771"/>
      <c r="E117" s="771"/>
      <c r="F117" s="771"/>
      <c r="G117" s="771"/>
      <c r="H117" s="818"/>
      <c r="I117" s="818"/>
      <c r="J117" s="818"/>
      <c r="K117" s="818"/>
      <c r="L117" s="818"/>
      <c r="M117" s="771"/>
      <c r="N117" s="817"/>
      <c r="O117" s="884"/>
      <c r="P117" s="884"/>
      <c r="Q117" s="884"/>
      <c r="R117" s="884"/>
      <c r="S117" s="771"/>
      <c r="T117" s="771"/>
      <c r="U117" s="771"/>
      <c r="V117" s="771"/>
      <c r="W117" s="771"/>
      <c r="X117" s="771"/>
      <c r="Y117" s="927"/>
      <c r="Z117" s="774"/>
      <c r="AA117" s="777"/>
      <c r="AB117" s="774"/>
      <c r="AC117" s="774"/>
      <c r="AD117" s="774"/>
    </row>
    <row r="118" spans="1:30" ht="9" customHeight="1">
      <c r="A118" s="773"/>
      <c r="B118" s="773"/>
      <c r="C118" s="771"/>
      <c r="D118" s="771"/>
      <c r="E118" s="771"/>
      <c r="F118" s="771"/>
      <c r="G118" s="771"/>
      <c r="H118" s="818"/>
      <c r="I118" s="818"/>
      <c r="J118" s="818"/>
      <c r="K118" s="818"/>
      <c r="L118" s="818"/>
      <c r="M118" s="771"/>
      <c r="N118" s="817"/>
      <c r="O118" s="884"/>
      <c r="P118" s="884"/>
      <c r="Q118" s="884"/>
      <c r="R118" s="884"/>
      <c r="S118" s="771"/>
      <c r="T118" s="771"/>
      <c r="U118" s="771"/>
      <c r="V118" s="771"/>
      <c r="W118" s="771"/>
      <c r="X118" s="771"/>
      <c r="Y118" s="927"/>
      <c r="Z118" s="774"/>
      <c r="AA118" s="777"/>
      <c r="AB118" s="774"/>
      <c r="AC118" s="774"/>
      <c r="AD118" s="774"/>
    </row>
    <row r="119" spans="1:30" ht="9" customHeight="1">
      <c r="A119" s="773"/>
      <c r="B119" s="773"/>
      <c r="C119" s="771"/>
      <c r="D119" s="771"/>
      <c r="E119" s="771"/>
      <c r="F119" s="771"/>
      <c r="G119" s="771"/>
      <c r="H119" s="818"/>
      <c r="I119" s="818"/>
      <c r="J119" s="818"/>
      <c r="K119" s="818"/>
      <c r="L119" s="818"/>
      <c r="M119" s="771"/>
      <c r="N119" s="817"/>
      <c r="O119" s="884"/>
      <c r="P119" s="884"/>
      <c r="Q119" s="884"/>
      <c r="R119" s="884"/>
      <c r="S119" s="771"/>
      <c r="T119" s="771"/>
      <c r="U119" s="771"/>
      <c r="V119" s="771"/>
      <c r="W119" s="771"/>
      <c r="X119" s="771"/>
      <c r="Y119" s="927"/>
      <c r="Z119" s="774"/>
      <c r="AA119" s="777"/>
      <c r="AB119" s="774"/>
      <c r="AC119" s="774"/>
      <c r="AD119" s="774"/>
    </row>
    <row r="120" spans="1:30" ht="9" customHeight="1">
      <c r="A120" s="773"/>
      <c r="B120" s="773"/>
      <c r="C120" s="771"/>
      <c r="D120" s="771"/>
      <c r="E120" s="771"/>
      <c r="F120" s="771"/>
      <c r="G120" s="771"/>
      <c r="H120" s="818"/>
      <c r="I120" s="818"/>
      <c r="J120" s="818"/>
      <c r="K120" s="818"/>
      <c r="L120" s="818"/>
      <c r="M120" s="771"/>
      <c r="N120" s="817"/>
      <c r="O120" s="884"/>
      <c r="P120" s="884"/>
      <c r="Q120" s="884"/>
      <c r="R120" s="884"/>
      <c r="S120" s="771"/>
      <c r="T120" s="771"/>
      <c r="U120" s="771"/>
      <c r="V120" s="771"/>
      <c r="W120" s="771"/>
      <c r="X120" s="771"/>
      <c r="Y120" s="927"/>
      <c r="Z120" s="774"/>
      <c r="AA120" s="777"/>
      <c r="AB120" s="774"/>
      <c r="AC120" s="774"/>
      <c r="AD120" s="774"/>
    </row>
    <row r="121" spans="1:30" ht="9" customHeight="1">
      <c r="A121" s="773"/>
      <c r="B121" s="773"/>
      <c r="C121" s="771"/>
      <c r="D121" s="771"/>
      <c r="E121" s="771"/>
      <c r="F121" s="771"/>
      <c r="G121" s="771"/>
      <c r="H121" s="818"/>
      <c r="I121" s="818"/>
      <c r="J121" s="818"/>
      <c r="K121" s="818"/>
      <c r="L121" s="818"/>
      <c r="M121" s="771"/>
      <c r="N121" s="817"/>
      <c r="O121" s="884"/>
      <c r="P121" s="884"/>
      <c r="Q121" s="884"/>
      <c r="R121" s="884"/>
      <c r="S121" s="771"/>
      <c r="T121" s="771"/>
      <c r="U121" s="771"/>
      <c r="V121" s="771"/>
      <c r="W121" s="771"/>
      <c r="X121" s="771"/>
      <c r="Y121" s="927"/>
      <c r="Z121" s="774"/>
      <c r="AA121" s="777"/>
      <c r="AB121" s="774"/>
      <c r="AC121" s="774"/>
      <c r="AD121" s="774"/>
    </row>
    <row r="122" spans="1:30" ht="9" customHeight="1">
      <c r="A122" s="773"/>
      <c r="B122" s="773"/>
      <c r="C122" s="771"/>
      <c r="D122" s="771"/>
      <c r="E122" s="771"/>
      <c r="F122" s="771"/>
      <c r="G122" s="771"/>
      <c r="H122" s="818"/>
      <c r="I122" s="818"/>
      <c r="J122" s="818"/>
      <c r="K122" s="818"/>
      <c r="L122" s="818"/>
      <c r="M122" s="771"/>
      <c r="N122" s="817"/>
      <c r="O122" s="884"/>
      <c r="P122" s="884"/>
      <c r="Q122" s="884"/>
      <c r="R122" s="884"/>
      <c r="S122" s="771"/>
      <c r="T122" s="771"/>
      <c r="U122" s="771"/>
      <c r="V122" s="771"/>
      <c r="W122" s="771"/>
      <c r="X122" s="771"/>
      <c r="Y122" s="927"/>
      <c r="Z122" s="774"/>
      <c r="AA122" s="777"/>
      <c r="AB122" s="774"/>
      <c r="AC122" s="774"/>
      <c r="AD122" s="774"/>
    </row>
    <row r="123" spans="1:30" ht="9" customHeight="1">
      <c r="A123" s="773"/>
      <c r="B123" s="773"/>
      <c r="C123" s="771"/>
      <c r="D123" s="771"/>
      <c r="E123" s="771"/>
      <c r="F123" s="771"/>
      <c r="G123" s="771"/>
      <c r="H123" s="818"/>
      <c r="I123" s="818"/>
      <c r="J123" s="818"/>
      <c r="K123" s="818"/>
      <c r="L123" s="818"/>
      <c r="M123" s="771"/>
      <c r="N123" s="817"/>
      <c r="O123" s="884"/>
      <c r="P123" s="884"/>
      <c r="Q123" s="884"/>
      <c r="R123" s="884"/>
      <c r="S123" s="771"/>
      <c r="T123" s="771"/>
      <c r="U123" s="771"/>
      <c r="V123" s="771"/>
      <c r="W123" s="771"/>
      <c r="X123" s="771"/>
      <c r="Y123" s="927"/>
      <c r="Z123" s="774"/>
      <c r="AA123" s="777"/>
      <c r="AB123" s="774"/>
      <c r="AC123" s="774"/>
      <c r="AD123" s="774"/>
    </row>
    <row r="124" spans="1:30" ht="9" customHeight="1">
      <c r="A124" s="773"/>
      <c r="B124" s="773"/>
      <c r="C124" s="771"/>
      <c r="D124" s="771"/>
      <c r="E124" s="771"/>
      <c r="F124" s="771"/>
      <c r="G124" s="771"/>
      <c r="H124" s="818"/>
      <c r="I124" s="818"/>
      <c r="J124" s="818"/>
      <c r="K124" s="818"/>
      <c r="L124" s="818"/>
      <c r="M124" s="771"/>
      <c r="N124" s="817"/>
      <c r="O124" s="884"/>
      <c r="P124" s="884"/>
      <c r="Q124" s="884"/>
      <c r="R124" s="884"/>
      <c r="S124" s="771"/>
      <c r="T124" s="771"/>
      <c r="U124" s="771"/>
      <c r="V124" s="771"/>
      <c r="W124" s="771"/>
      <c r="X124" s="771"/>
      <c r="Y124" s="927"/>
      <c r="Z124" s="774"/>
      <c r="AA124" s="777"/>
      <c r="AB124" s="774"/>
      <c r="AC124" s="774"/>
      <c r="AD124" s="774"/>
    </row>
    <row r="125" spans="1:30" ht="9" customHeight="1">
      <c r="A125" s="773"/>
      <c r="B125" s="773"/>
      <c r="C125" s="771"/>
      <c r="D125" s="771"/>
      <c r="E125" s="771"/>
      <c r="F125" s="771"/>
      <c r="G125" s="771"/>
      <c r="H125" s="818"/>
      <c r="I125" s="818"/>
      <c r="J125" s="818"/>
      <c r="K125" s="818"/>
      <c r="L125" s="818"/>
      <c r="M125" s="771"/>
      <c r="N125" s="817"/>
      <c r="O125" s="884"/>
      <c r="P125" s="884"/>
      <c r="Q125" s="884"/>
      <c r="R125" s="884"/>
      <c r="S125" s="771"/>
      <c r="T125" s="771"/>
      <c r="U125" s="771"/>
      <c r="V125" s="771"/>
      <c r="W125" s="771"/>
      <c r="X125" s="771"/>
      <c r="Y125" s="927"/>
      <c r="Z125" s="774"/>
      <c r="AA125" s="777"/>
      <c r="AB125" s="774"/>
      <c r="AC125" s="774"/>
      <c r="AD125" s="774"/>
    </row>
    <row r="126" spans="1:30" ht="9" customHeight="1">
      <c r="A126" s="773"/>
      <c r="B126" s="773"/>
      <c r="C126" s="771"/>
      <c r="D126" s="771"/>
      <c r="E126" s="771"/>
      <c r="F126" s="771"/>
      <c r="G126" s="771"/>
      <c r="H126" s="818"/>
      <c r="I126" s="818"/>
      <c r="J126" s="818"/>
      <c r="K126" s="818"/>
      <c r="L126" s="818"/>
      <c r="M126" s="771"/>
      <c r="N126" s="817"/>
      <c r="O126" s="884"/>
      <c r="P126" s="884"/>
      <c r="Q126" s="884"/>
      <c r="R126" s="884"/>
      <c r="S126" s="771"/>
      <c r="T126" s="771"/>
      <c r="U126" s="771"/>
      <c r="V126" s="771"/>
      <c r="W126" s="771"/>
      <c r="X126" s="771"/>
      <c r="Y126" s="927"/>
      <c r="Z126" s="774"/>
      <c r="AA126" s="777"/>
      <c r="AB126" s="774"/>
      <c r="AC126" s="774"/>
      <c r="AD126" s="774"/>
    </row>
    <row r="127" spans="1:30" ht="9" customHeight="1">
      <c r="A127" s="773"/>
      <c r="B127" s="773"/>
      <c r="C127" s="771"/>
      <c r="D127" s="771"/>
      <c r="E127" s="771"/>
      <c r="F127" s="771"/>
      <c r="G127" s="771"/>
      <c r="H127" s="818"/>
      <c r="I127" s="818"/>
      <c r="J127" s="818"/>
      <c r="K127" s="818"/>
      <c r="L127" s="818"/>
      <c r="M127" s="771"/>
      <c r="N127" s="817"/>
      <c r="O127" s="884"/>
      <c r="P127" s="884"/>
      <c r="Q127" s="884"/>
      <c r="R127" s="884"/>
      <c r="S127" s="771"/>
      <c r="T127" s="771"/>
      <c r="U127" s="771"/>
      <c r="V127" s="771"/>
      <c r="W127" s="771"/>
      <c r="X127" s="771"/>
      <c r="Y127" s="927"/>
      <c r="Z127" s="774"/>
      <c r="AA127" s="777"/>
      <c r="AB127" s="774"/>
      <c r="AC127" s="774"/>
      <c r="AD127" s="774"/>
    </row>
    <row r="128" spans="1:30" ht="9" customHeight="1">
      <c r="A128" s="773"/>
      <c r="B128" s="773"/>
      <c r="C128" s="771"/>
      <c r="D128" s="771"/>
      <c r="E128" s="771"/>
      <c r="F128" s="771"/>
      <c r="G128" s="771"/>
      <c r="H128" s="818"/>
      <c r="I128" s="818"/>
      <c r="J128" s="818"/>
      <c r="K128" s="818"/>
      <c r="L128" s="818"/>
      <c r="M128" s="771"/>
      <c r="N128" s="817"/>
      <c r="O128" s="884"/>
      <c r="P128" s="884"/>
      <c r="Q128" s="884"/>
      <c r="R128" s="884"/>
      <c r="S128" s="771"/>
      <c r="T128" s="771"/>
      <c r="U128" s="771"/>
      <c r="V128" s="771"/>
      <c r="W128" s="771"/>
      <c r="X128" s="771"/>
      <c r="Y128" s="927"/>
      <c r="Z128" s="774"/>
      <c r="AA128" s="777"/>
      <c r="AB128" s="774"/>
      <c r="AC128" s="774"/>
      <c r="AD128" s="774"/>
    </row>
    <row r="129" spans="1:30" ht="9" customHeight="1">
      <c r="A129" s="773"/>
      <c r="B129" s="773"/>
      <c r="C129" s="771"/>
      <c r="D129" s="771"/>
      <c r="E129" s="771"/>
      <c r="F129" s="771"/>
      <c r="G129" s="771"/>
      <c r="H129" s="818"/>
      <c r="I129" s="818"/>
      <c r="J129" s="818"/>
      <c r="K129" s="818"/>
      <c r="L129" s="818"/>
      <c r="M129" s="771"/>
      <c r="N129" s="817"/>
      <c r="O129" s="884"/>
      <c r="P129" s="884"/>
      <c r="Q129" s="884"/>
      <c r="R129" s="884"/>
      <c r="S129" s="771"/>
      <c r="T129" s="771"/>
      <c r="U129" s="771"/>
      <c r="V129" s="771"/>
      <c r="W129" s="771"/>
      <c r="X129" s="771"/>
      <c r="Y129" s="927"/>
      <c r="Z129" s="774"/>
      <c r="AA129" s="777"/>
      <c r="AB129" s="774"/>
      <c r="AC129" s="774"/>
      <c r="AD129" s="774"/>
    </row>
    <row r="130" spans="1:30" ht="9" customHeight="1">
      <c r="A130" s="773"/>
      <c r="B130" s="773"/>
      <c r="C130" s="771"/>
      <c r="D130" s="771"/>
      <c r="E130" s="771"/>
      <c r="F130" s="771"/>
      <c r="G130" s="771"/>
      <c r="H130" s="818"/>
      <c r="I130" s="818"/>
      <c r="J130" s="818"/>
      <c r="K130" s="818"/>
      <c r="L130" s="818"/>
      <c r="M130" s="771"/>
      <c r="N130" s="817"/>
      <c r="O130" s="886"/>
      <c r="P130" s="886"/>
      <c r="Q130" s="886"/>
      <c r="R130" s="886"/>
      <c r="S130" s="771"/>
      <c r="T130" s="771"/>
      <c r="U130" s="771"/>
      <c r="V130" s="771"/>
      <c r="W130" s="771"/>
      <c r="X130" s="771"/>
      <c r="Y130" s="927"/>
      <c r="Z130" s="774"/>
      <c r="AA130" s="777"/>
      <c r="AB130" s="774"/>
      <c r="AC130" s="774"/>
      <c r="AD130" s="774"/>
    </row>
    <row r="131" spans="1:30" ht="9" customHeight="1">
      <c r="A131" s="773"/>
      <c r="B131" s="773"/>
      <c r="C131" s="771"/>
      <c r="D131" s="771"/>
      <c r="E131" s="771"/>
      <c r="F131" s="771"/>
      <c r="G131" s="771"/>
      <c r="H131" s="818"/>
      <c r="I131" s="818"/>
      <c r="J131" s="818"/>
      <c r="K131" s="818"/>
      <c r="L131" s="818"/>
      <c r="M131" s="771"/>
      <c r="N131" s="817"/>
      <c r="O131" s="887"/>
      <c r="P131" s="887"/>
      <c r="Q131" s="887"/>
      <c r="R131" s="887"/>
      <c r="S131" s="771"/>
      <c r="T131" s="771"/>
      <c r="U131" s="771"/>
      <c r="V131" s="771"/>
      <c r="W131" s="771"/>
      <c r="X131" s="771"/>
      <c r="Y131" s="927"/>
      <c r="Z131" s="774"/>
      <c r="AA131" s="777"/>
      <c r="AB131" s="774"/>
      <c r="AC131" s="774"/>
      <c r="AD131" s="774"/>
    </row>
    <row r="132" spans="1:30" ht="9" customHeight="1">
      <c r="A132" s="773"/>
      <c r="B132" s="773"/>
      <c r="C132" s="771"/>
      <c r="D132" s="771"/>
      <c r="E132" s="771"/>
      <c r="F132" s="771"/>
      <c r="G132" s="771"/>
      <c r="H132" s="818"/>
      <c r="I132" s="818"/>
      <c r="J132" s="818"/>
      <c r="K132" s="818"/>
      <c r="L132" s="818"/>
      <c r="M132" s="771"/>
      <c r="N132" s="817"/>
      <c r="O132" s="886"/>
      <c r="P132" s="886"/>
      <c r="Q132" s="886"/>
      <c r="R132" s="886"/>
      <c r="S132" s="771"/>
      <c r="T132" s="771"/>
      <c r="U132" s="771"/>
      <c r="V132" s="771"/>
      <c r="W132" s="771"/>
      <c r="X132" s="771"/>
      <c r="Y132" s="927"/>
      <c r="Z132" s="774"/>
      <c r="AA132" s="777"/>
      <c r="AB132" s="774"/>
      <c r="AC132" s="774"/>
      <c r="AD132" s="774"/>
    </row>
    <row r="133" spans="1:30" ht="9" customHeight="1">
      <c r="A133" s="773"/>
      <c r="B133" s="773"/>
      <c r="C133" s="771"/>
      <c r="D133" s="771"/>
      <c r="E133" s="771"/>
      <c r="F133" s="771"/>
      <c r="G133" s="771"/>
      <c r="H133" s="818"/>
      <c r="I133" s="818"/>
      <c r="J133" s="818"/>
      <c r="K133" s="818"/>
      <c r="L133" s="818"/>
      <c r="M133" s="771"/>
      <c r="N133" s="817"/>
      <c r="O133" s="887"/>
      <c r="P133" s="887"/>
      <c r="Q133" s="887"/>
      <c r="R133" s="887"/>
      <c r="S133" s="771"/>
      <c r="T133" s="771"/>
      <c r="U133" s="771"/>
      <c r="V133" s="771"/>
      <c r="W133" s="771"/>
      <c r="X133" s="771"/>
      <c r="Y133" s="927"/>
      <c r="Z133" s="774"/>
      <c r="AA133" s="777"/>
      <c r="AB133" s="774"/>
      <c r="AC133" s="774"/>
      <c r="AD133" s="774"/>
    </row>
    <row r="134" spans="1:30" ht="9" customHeight="1">
      <c r="A134" s="773"/>
      <c r="B134" s="773"/>
      <c r="C134" s="771"/>
      <c r="D134" s="771"/>
      <c r="E134" s="771"/>
      <c r="F134" s="771"/>
      <c r="G134" s="771"/>
      <c r="H134" s="818"/>
      <c r="I134" s="818"/>
      <c r="J134" s="818"/>
      <c r="K134" s="818"/>
      <c r="L134" s="818"/>
      <c r="M134" s="771"/>
      <c r="N134" s="817"/>
      <c r="O134" s="884"/>
      <c r="P134" s="884"/>
      <c r="Q134" s="884"/>
      <c r="R134" s="884"/>
      <c r="S134" s="771"/>
      <c r="T134" s="771"/>
      <c r="U134" s="771"/>
      <c r="V134" s="771"/>
      <c r="W134" s="771"/>
      <c r="X134" s="771"/>
      <c r="Y134" s="927"/>
      <c r="Z134" s="774"/>
      <c r="AA134" s="777"/>
      <c r="AB134" s="774"/>
      <c r="AC134" s="774"/>
      <c r="AD134" s="774"/>
    </row>
    <row r="135" spans="1:30" ht="9" customHeight="1">
      <c r="A135" s="773"/>
      <c r="B135" s="773"/>
      <c r="C135" s="771"/>
      <c r="D135" s="771"/>
      <c r="E135" s="771"/>
      <c r="F135" s="771"/>
      <c r="G135" s="771"/>
      <c r="H135" s="818"/>
      <c r="I135" s="818"/>
      <c r="J135" s="818"/>
      <c r="K135" s="818"/>
      <c r="L135" s="818"/>
      <c r="M135" s="771"/>
      <c r="N135" s="817"/>
      <c r="O135" s="884"/>
      <c r="P135" s="884"/>
      <c r="Q135" s="884"/>
      <c r="R135" s="884"/>
      <c r="S135" s="771"/>
      <c r="T135" s="771"/>
      <c r="U135" s="771"/>
      <c r="V135" s="771"/>
      <c r="W135" s="771"/>
      <c r="X135" s="771"/>
      <c r="Y135" s="927"/>
      <c r="Z135" s="774"/>
      <c r="AA135" s="777"/>
      <c r="AB135" s="774"/>
      <c r="AC135" s="774"/>
      <c r="AD135" s="774"/>
    </row>
    <row r="136" spans="1:30" ht="9" customHeight="1">
      <c r="A136" s="773"/>
      <c r="B136" s="773"/>
      <c r="C136" s="771"/>
      <c r="D136" s="771"/>
      <c r="E136" s="771"/>
      <c r="F136" s="771"/>
      <c r="G136" s="771"/>
      <c r="H136" s="818"/>
      <c r="I136" s="818"/>
      <c r="J136" s="818"/>
      <c r="K136" s="818"/>
      <c r="L136" s="818"/>
      <c r="M136" s="771"/>
      <c r="N136" s="817"/>
      <c r="O136" s="884"/>
      <c r="P136" s="884"/>
      <c r="Q136" s="884"/>
      <c r="R136" s="884"/>
      <c r="S136" s="771"/>
      <c r="T136" s="771"/>
      <c r="U136" s="771"/>
      <c r="V136" s="771"/>
      <c r="W136" s="771"/>
      <c r="X136" s="771"/>
      <c r="Y136" s="927"/>
      <c r="Z136" s="774"/>
      <c r="AA136" s="777"/>
      <c r="AB136" s="774"/>
      <c r="AC136" s="774"/>
      <c r="AD136" s="774"/>
    </row>
    <row r="137" spans="1:30" ht="9" customHeight="1">
      <c r="A137" s="773"/>
      <c r="B137" s="773"/>
      <c r="C137" s="771"/>
      <c r="D137" s="771"/>
      <c r="E137" s="771"/>
      <c r="F137" s="771"/>
      <c r="G137" s="771"/>
      <c r="H137" s="818"/>
      <c r="I137" s="818"/>
      <c r="J137" s="818"/>
      <c r="K137" s="818"/>
      <c r="L137" s="818"/>
      <c r="M137" s="771"/>
      <c r="N137" s="817"/>
      <c r="O137" s="888"/>
      <c r="P137" s="888"/>
      <c r="Q137" s="888"/>
      <c r="R137" s="888"/>
      <c r="S137" s="771"/>
      <c r="T137" s="771"/>
      <c r="U137" s="771"/>
      <c r="V137" s="771"/>
      <c r="W137" s="771"/>
      <c r="X137" s="771"/>
      <c r="Y137" s="927"/>
      <c r="Z137" s="774"/>
      <c r="AA137" s="777"/>
      <c r="AB137" s="774"/>
      <c r="AC137" s="774"/>
      <c r="AD137" s="774"/>
    </row>
    <row r="138" spans="1:30" ht="9" customHeight="1">
      <c r="A138" s="773"/>
      <c r="B138" s="773"/>
      <c r="C138" s="771"/>
      <c r="D138" s="771"/>
      <c r="E138" s="771"/>
      <c r="F138" s="771"/>
      <c r="G138" s="771"/>
      <c r="H138" s="818"/>
      <c r="I138" s="818"/>
      <c r="J138" s="818"/>
      <c r="K138" s="818"/>
      <c r="L138" s="818"/>
      <c r="M138" s="771"/>
      <c r="N138" s="817"/>
      <c r="O138" s="885"/>
      <c r="P138" s="885"/>
      <c r="Q138" s="885"/>
      <c r="R138" s="885"/>
      <c r="S138" s="771"/>
      <c r="T138" s="771"/>
      <c r="U138" s="771"/>
      <c r="V138" s="771"/>
      <c r="W138" s="771"/>
      <c r="X138" s="771"/>
      <c r="Y138" s="927"/>
      <c r="Z138" s="774"/>
      <c r="AA138" s="777"/>
      <c r="AB138" s="774"/>
      <c r="AC138" s="774"/>
      <c r="AD138" s="774"/>
    </row>
    <row r="139" spans="1:30" ht="9" customHeight="1">
      <c r="A139" s="773"/>
      <c r="B139" s="773"/>
      <c r="C139" s="771"/>
      <c r="D139" s="771"/>
      <c r="E139" s="771"/>
      <c r="F139" s="771"/>
      <c r="G139" s="771"/>
      <c r="H139" s="818"/>
      <c r="I139" s="818"/>
      <c r="J139" s="818"/>
      <c r="K139" s="818"/>
      <c r="L139" s="818"/>
      <c r="M139" s="771"/>
      <c r="N139" s="817"/>
      <c r="O139" s="771"/>
      <c r="P139" s="771"/>
      <c r="Q139" s="771"/>
      <c r="R139" s="771"/>
      <c r="S139" s="771"/>
      <c r="T139" s="771"/>
      <c r="U139" s="771"/>
      <c r="V139" s="771"/>
      <c r="W139" s="771"/>
      <c r="X139" s="771"/>
      <c r="Y139" s="927"/>
      <c r="Z139" s="774"/>
      <c r="AA139" s="777"/>
      <c r="AB139" s="774"/>
      <c r="AC139" s="774"/>
      <c r="AD139" s="774"/>
    </row>
    <row r="140" spans="1:30" ht="9" customHeight="1">
      <c r="A140" s="773"/>
      <c r="B140" s="773"/>
      <c r="C140" s="771"/>
      <c r="D140" s="771"/>
      <c r="E140" s="771"/>
      <c r="F140" s="771"/>
      <c r="G140" s="771"/>
      <c r="H140" s="818"/>
      <c r="I140" s="818"/>
      <c r="J140" s="818"/>
      <c r="K140" s="818"/>
      <c r="L140" s="818"/>
      <c r="M140" s="771"/>
      <c r="N140" s="817"/>
      <c r="O140" s="771"/>
      <c r="P140" s="771"/>
      <c r="Q140" s="771"/>
      <c r="R140" s="771"/>
      <c r="S140" s="771"/>
      <c r="T140" s="771"/>
      <c r="U140" s="771"/>
      <c r="V140" s="771"/>
      <c r="W140" s="771"/>
      <c r="X140" s="771"/>
      <c r="Y140" s="927"/>
      <c r="Z140" s="774"/>
      <c r="AA140" s="777"/>
      <c r="AB140" s="774"/>
      <c r="AC140" s="774"/>
      <c r="AD140" s="774"/>
    </row>
    <row r="141" spans="1:30" ht="9" customHeight="1">
      <c r="A141" s="773"/>
      <c r="B141" s="773"/>
      <c r="C141" s="771"/>
      <c r="D141" s="771"/>
      <c r="E141" s="771"/>
      <c r="F141" s="771"/>
      <c r="G141" s="771"/>
      <c r="H141" s="818"/>
      <c r="I141" s="818"/>
      <c r="J141" s="818"/>
      <c r="K141" s="818"/>
      <c r="L141" s="818"/>
      <c r="M141" s="771"/>
      <c r="N141" s="817"/>
      <c r="O141" s="771"/>
      <c r="P141" s="771"/>
      <c r="Q141" s="771"/>
      <c r="R141" s="771"/>
      <c r="S141" s="771"/>
      <c r="T141" s="771"/>
      <c r="U141" s="771"/>
      <c r="V141" s="771"/>
      <c r="W141" s="771"/>
      <c r="X141" s="771"/>
      <c r="Y141" s="927"/>
      <c r="Z141" s="774"/>
      <c r="AA141" s="777"/>
      <c r="AB141" s="774"/>
      <c r="AC141" s="774"/>
      <c r="AD141" s="774"/>
    </row>
    <row r="142" spans="1:30" ht="9" customHeight="1">
      <c r="A142" s="773"/>
      <c r="B142" s="773"/>
      <c r="C142" s="771"/>
      <c r="D142" s="771"/>
      <c r="E142" s="771"/>
      <c r="F142" s="771"/>
      <c r="G142" s="771"/>
      <c r="H142" s="818"/>
      <c r="I142" s="818"/>
      <c r="J142" s="818"/>
      <c r="K142" s="818"/>
      <c r="L142" s="818"/>
      <c r="M142" s="771"/>
      <c r="N142" s="817"/>
      <c r="O142" s="771"/>
      <c r="P142" s="771"/>
      <c r="Q142" s="771"/>
      <c r="R142" s="771"/>
      <c r="S142" s="771"/>
      <c r="T142" s="771"/>
      <c r="U142" s="771"/>
      <c r="V142" s="771"/>
      <c r="W142" s="771"/>
      <c r="X142" s="771"/>
      <c r="Y142" s="927"/>
      <c r="Z142" s="774"/>
      <c r="AA142" s="777"/>
      <c r="AB142" s="774"/>
      <c r="AC142" s="774"/>
      <c r="AD142" s="774"/>
    </row>
    <row r="143" spans="1:30" ht="9" customHeight="1">
      <c r="A143" s="773"/>
      <c r="B143" s="773"/>
      <c r="C143" s="771"/>
      <c r="D143" s="771"/>
      <c r="E143" s="771"/>
      <c r="F143" s="771"/>
      <c r="G143" s="771"/>
      <c r="H143" s="818"/>
      <c r="I143" s="818"/>
      <c r="J143" s="818"/>
      <c r="K143" s="818"/>
      <c r="L143" s="818"/>
      <c r="M143" s="771"/>
      <c r="N143" s="817"/>
      <c r="O143" s="771"/>
      <c r="P143" s="771"/>
      <c r="Q143" s="771"/>
      <c r="R143" s="771"/>
      <c r="S143" s="771"/>
      <c r="T143" s="771"/>
      <c r="U143" s="771"/>
      <c r="V143" s="771"/>
      <c r="W143" s="771"/>
      <c r="X143" s="771"/>
      <c r="Y143" s="927"/>
      <c r="Z143" s="774"/>
      <c r="AA143" s="777"/>
      <c r="AB143" s="774"/>
      <c r="AC143" s="774"/>
      <c r="AD143" s="774"/>
    </row>
    <row r="144" spans="1:30" ht="9" customHeight="1">
      <c r="A144" s="773"/>
      <c r="B144" s="773"/>
      <c r="C144" s="771"/>
      <c r="D144" s="771"/>
      <c r="E144" s="771"/>
      <c r="F144" s="771"/>
      <c r="G144" s="771"/>
      <c r="H144" s="818"/>
      <c r="I144" s="818"/>
      <c r="J144" s="818"/>
      <c r="K144" s="818"/>
      <c r="L144" s="818"/>
      <c r="M144" s="771"/>
      <c r="N144" s="817"/>
      <c r="O144" s="771"/>
      <c r="P144" s="771"/>
      <c r="Q144" s="771"/>
      <c r="R144" s="771"/>
      <c r="S144" s="771"/>
      <c r="T144" s="771"/>
      <c r="U144" s="771"/>
      <c r="V144" s="771"/>
      <c r="W144" s="771"/>
      <c r="X144" s="771"/>
      <c r="Y144" s="927"/>
      <c r="Z144" s="774"/>
      <c r="AA144" s="777"/>
      <c r="AB144" s="774"/>
      <c r="AC144" s="774"/>
      <c r="AD144" s="774"/>
    </row>
    <row r="145" spans="1:30" ht="9" customHeight="1">
      <c r="A145" s="773"/>
      <c r="B145" s="773"/>
      <c r="C145" s="771"/>
      <c r="D145" s="771"/>
      <c r="E145" s="771"/>
      <c r="F145" s="771"/>
      <c r="G145" s="771"/>
      <c r="H145" s="818"/>
      <c r="I145" s="818"/>
      <c r="J145" s="818"/>
      <c r="K145" s="818"/>
      <c r="L145" s="818"/>
      <c r="M145" s="771"/>
      <c r="N145" s="817"/>
      <c r="O145" s="771"/>
      <c r="P145" s="771"/>
      <c r="Q145" s="771"/>
      <c r="R145" s="771"/>
      <c r="S145" s="771"/>
      <c r="T145" s="771"/>
      <c r="U145" s="771"/>
      <c r="V145" s="771"/>
      <c r="W145" s="771"/>
      <c r="X145" s="771"/>
      <c r="Y145" s="927"/>
      <c r="Z145" s="774"/>
      <c r="AA145" s="777"/>
      <c r="AB145" s="774"/>
      <c r="AC145" s="774"/>
      <c r="AD145" s="774"/>
    </row>
    <row r="146" spans="1:30" ht="9" customHeight="1">
      <c r="A146" s="773"/>
      <c r="B146" s="773"/>
      <c r="C146" s="771"/>
      <c r="D146" s="771"/>
      <c r="E146" s="771"/>
      <c r="F146" s="771"/>
      <c r="G146" s="771"/>
      <c r="H146" s="818"/>
      <c r="I146" s="818"/>
      <c r="J146" s="818"/>
      <c r="K146" s="818"/>
      <c r="L146" s="818"/>
      <c r="M146" s="771"/>
      <c r="N146" s="817"/>
      <c r="O146" s="771"/>
      <c r="P146" s="771"/>
      <c r="Q146" s="771"/>
      <c r="R146" s="771"/>
      <c r="S146" s="771"/>
      <c r="T146" s="771"/>
      <c r="U146" s="771"/>
      <c r="V146" s="771"/>
      <c r="W146" s="771"/>
      <c r="X146" s="771"/>
      <c r="Y146" s="927"/>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1860</v>
      </c>
      <c r="B148" s="773"/>
      <c r="C148" s="771" t="s">
        <v>2420</v>
      </c>
      <c r="D148" s="771" t="s">
        <v>660</v>
      </c>
      <c r="E148" s="771" t="s">
        <v>1862</v>
      </c>
      <c r="F148" s="771" t="s">
        <v>2421</v>
      </c>
      <c r="G148" s="771"/>
      <c r="H148" s="771"/>
      <c r="I148" s="890"/>
      <c r="J148" s="890"/>
      <c r="K148" s="890"/>
      <c r="L148" s="890"/>
      <c r="M148" s="82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6"/>
      <c r="O148" s="771"/>
      <c r="P148" s="772"/>
      <c r="Q148" s="772"/>
      <c r="R148" s="772"/>
      <c r="S148" s="771"/>
      <c r="T148" s="771" t="s">
        <v>2422</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2"/>
      <c r="W148" s="772"/>
      <c r="X148" s="771" t="s">
        <v>2423</v>
      </c>
      <c r="Y148" s="927"/>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1864</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7"/>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1867</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7"/>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1871</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7"/>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2.28515625" style="1290" hidden="1" customWidth="1"/>
    <col min="6" max="8" width="12.28515625" style="1672" hidden="1" customWidth="1"/>
    <col min="9" max="9" width="3" style="1975" customWidth="1"/>
    <col min="10" max="11" width="3" style="279" customWidth="1"/>
    <col min="12" max="12" width="12" style="1976" customWidth="1"/>
    <col min="13" max="13" width="31" style="1559" customWidth="1"/>
    <col min="14" max="14" width="1" style="1559" customWidth="1"/>
    <col min="15" max="18" width="24" style="1559" customWidth="1"/>
    <col min="19" max="19" width="11" style="1559" customWidth="1"/>
    <col min="20" max="20" width="3.7109375" style="1559" customWidth="1"/>
    <col min="21" max="21" width="11" style="1559" customWidth="1"/>
    <col min="22" max="22" width="8.5703125" style="1559" customWidth="1"/>
    <col min="23" max="23" width="4" style="1559" customWidth="1"/>
    <col min="24" max="24" width="115" style="1559" customWidth="1"/>
    <col min="25" max="29" width="10" style="1566" customWidth="1"/>
    <col min="30" max="30" width="10.5703125" style="1559" hidden="1"/>
  </cols>
  <sheetData>
    <row r="1" spans="1:30" ht="22.5" hidden="1" customHeight="1">
      <c r="R1" s="262"/>
      <c r="S1" s="262"/>
      <c r="AD1" s="1079" t="s">
        <v>1</v>
      </c>
    </row>
    <row r="2" spans="1:30" ht="14.25" hidden="1" customHeight="1">
      <c r="V2" s="262"/>
      <c r="AD2" s="1079">
        <v>0</v>
      </c>
    </row>
    <row r="3" spans="1:30" ht="14.25" hidden="1" customHeight="1">
      <c r="AD3" s="1079">
        <v>0</v>
      </c>
    </row>
    <row r="4" spans="1:30" ht="14.65" customHeight="1">
      <c r="J4" s="310"/>
      <c r="K4" s="310"/>
      <c r="L4" s="1199"/>
      <c r="M4" s="297"/>
      <c r="N4" s="297"/>
      <c r="O4" s="443"/>
      <c r="P4" s="443"/>
      <c r="Q4" s="443"/>
      <c r="R4" s="443"/>
      <c r="S4" s="443"/>
      <c r="T4" s="443"/>
      <c r="U4" s="443"/>
      <c r="V4" s="443"/>
      <c r="AD4" s="1079">
        <v>14</v>
      </c>
    </row>
    <row r="5" spans="1:30" ht="67.150000000000006" customHeight="1">
      <c r="J5" s="310"/>
      <c r="K5" s="310"/>
      <c r="L5" s="4304" t="s">
        <v>2424</v>
      </c>
      <c r="M5" s="4304"/>
      <c r="N5" s="4304"/>
      <c r="O5" s="4304"/>
      <c r="P5" s="4304"/>
      <c r="Q5" s="4304"/>
      <c r="R5" s="4304"/>
      <c r="S5" s="4304"/>
      <c r="T5" s="4304"/>
      <c r="U5" s="4304"/>
      <c r="V5" s="1167"/>
      <c r="AD5" s="1079">
        <v>64</v>
      </c>
    </row>
    <row r="6" spans="1:30" ht="14.65" customHeight="1">
      <c r="J6" s="310"/>
      <c r="K6" s="310"/>
      <c r="L6" s="4305" t="str">
        <f>IF(org=0,"Не определено",org)</f>
        <v>ООО "Смоленскрегионтеплоэнерго"</v>
      </c>
      <c r="M6" s="4305"/>
      <c r="N6" s="4305"/>
      <c r="O6" s="4305"/>
      <c r="P6" s="4305"/>
      <c r="Q6" s="4305"/>
      <c r="R6" s="4305"/>
      <c r="S6" s="4305"/>
      <c r="T6" s="4305"/>
      <c r="U6" s="4305"/>
      <c r="V6" s="1167"/>
      <c r="AD6" s="1079">
        <v>14</v>
      </c>
    </row>
    <row r="7" spans="1:30" ht="14.65" customHeight="1">
      <c r="J7" s="310"/>
      <c r="K7" s="310"/>
      <c r="L7" s="1199"/>
      <c r="M7" s="297"/>
      <c r="N7" s="297"/>
      <c r="O7" s="257"/>
      <c r="P7" s="257"/>
      <c r="Q7" s="257"/>
      <c r="R7" s="257"/>
      <c r="S7" s="257"/>
      <c r="T7" s="257"/>
      <c r="U7" s="257"/>
      <c r="V7" s="257"/>
      <c r="W7" s="443"/>
      <c r="AD7" s="1079">
        <v>14</v>
      </c>
    </row>
    <row r="8" spans="1:30" s="1748" customFormat="1" ht="48.2" customHeight="1">
      <c r="A8" s="1292"/>
      <c r="B8" s="1292"/>
      <c r="C8" s="1292"/>
      <c r="D8" s="1292"/>
      <c r="E8" s="1292"/>
      <c r="F8" s="1292"/>
      <c r="G8" s="1292"/>
      <c r="H8" s="1292"/>
      <c r="L8" s="1200"/>
      <c r="M8" s="230" t="s">
        <v>29</v>
      </c>
      <c r="N8" s="239"/>
      <c r="O8" s="4026" t="str">
        <f>IF(TITLE_NAME_OR_PR_CHANGE="",IF(TITLE_NAME_OR_PR="","",TITLE_NAME_OR_PR),TITLE_NAME_OR_PR_CHANGE)</f>
        <v/>
      </c>
      <c r="P8" s="4026"/>
      <c r="Q8" s="4026"/>
      <c r="R8" s="4026"/>
      <c r="S8" s="4026"/>
      <c r="T8" s="4026"/>
      <c r="U8" s="4026"/>
      <c r="V8" s="261"/>
      <c r="W8" s="261"/>
      <c r="X8" s="215"/>
      <c r="Y8" s="302"/>
      <c r="Z8" s="302"/>
      <c r="AA8" s="302"/>
      <c r="AB8" s="302"/>
      <c r="AC8" s="302"/>
      <c r="AD8" s="352">
        <v>46</v>
      </c>
    </row>
    <row r="9" spans="1:30" s="1748" customFormat="1" ht="24" customHeight="1">
      <c r="A9" s="1292"/>
      <c r="B9" s="1292"/>
      <c r="C9" s="1292"/>
      <c r="D9" s="1292"/>
      <c r="E9" s="1292"/>
      <c r="F9" s="1292"/>
      <c r="G9" s="1292"/>
      <c r="H9" s="1292"/>
      <c r="L9" s="1200"/>
      <c r="M9" s="230" t="s">
        <v>628</v>
      </c>
      <c r="N9" s="239"/>
      <c r="O9" s="4026">
        <f>IF(TITLE_DATE_CHANGE_PERIOD="",IF(TITLE_DATE_PR="","",TITLE_DATE_PR),TITLE_DATE_CHANGE_PERIOD)</f>
        <v>45765</v>
      </c>
      <c r="P9" s="4026"/>
      <c r="Q9" s="4026"/>
      <c r="R9" s="4026"/>
      <c r="S9" s="4026"/>
      <c r="T9" s="4026"/>
      <c r="U9" s="4026"/>
      <c r="V9" s="261"/>
      <c r="W9" s="261"/>
      <c r="X9" s="215"/>
      <c r="Y9" s="302"/>
      <c r="Z9" s="302"/>
      <c r="AA9" s="302"/>
      <c r="AB9" s="302"/>
      <c r="AC9" s="302"/>
      <c r="AD9" s="352">
        <v>23</v>
      </c>
    </row>
    <row r="10" spans="1:30" s="1748" customFormat="1" ht="24" customHeight="1">
      <c r="A10" s="1292"/>
      <c r="B10" s="1292"/>
      <c r="C10" s="1292"/>
      <c r="D10" s="1292"/>
      <c r="E10" s="1292"/>
      <c r="F10" s="1292"/>
      <c r="G10" s="1292"/>
      <c r="H10" s="1292"/>
      <c r="L10" s="1174"/>
      <c r="M10" s="230" t="s">
        <v>629</v>
      </c>
      <c r="N10" s="239"/>
      <c r="O10" s="4026" t="str">
        <f>IF(TITLE_NUMBER_PR_CHANGE="",IF(TITLE_NUMBER_PR="","",TITLE_NUMBER_PR),TITLE_NUMBER_PR_CHANGE)</f>
        <v>917</v>
      </c>
      <c r="P10" s="4026"/>
      <c r="Q10" s="4026"/>
      <c r="R10" s="4026"/>
      <c r="S10" s="4026"/>
      <c r="T10" s="4026"/>
      <c r="U10" s="4026"/>
      <c r="V10" s="261"/>
      <c r="W10" s="261"/>
      <c r="X10" s="215"/>
      <c r="Y10" s="302"/>
      <c r="Z10" s="302"/>
      <c r="AA10" s="302"/>
      <c r="AB10" s="302"/>
      <c r="AC10" s="302"/>
      <c r="AD10" s="352">
        <v>23</v>
      </c>
    </row>
    <row r="11" spans="1:30" s="1748" customFormat="1" ht="24" customHeight="1">
      <c r="A11" s="1292"/>
      <c r="B11" s="1292"/>
      <c r="C11" s="1292"/>
      <c r="D11" s="1292"/>
      <c r="E11" s="1292"/>
      <c r="F11" s="1292"/>
      <c r="G11" s="1292"/>
      <c r="H11" s="1292"/>
      <c r="L11" s="1174"/>
      <c r="M11" s="230" t="s">
        <v>30</v>
      </c>
      <c r="N11" s="239"/>
      <c r="O11" s="4026" t="str">
        <f>IF(TITLE_IST_PUB_CHANGE="",IF(TITLE_IST_PUB="","",TITLE_IST_PUB),TITLE_IST_PUB_CHANGE)</f>
        <v/>
      </c>
      <c r="P11" s="4026"/>
      <c r="Q11" s="4026"/>
      <c r="R11" s="4026"/>
      <c r="S11" s="4026"/>
      <c r="T11" s="4026"/>
      <c r="U11" s="4026"/>
      <c r="V11" s="261"/>
      <c r="W11" s="261"/>
      <c r="X11" s="215"/>
      <c r="Y11" s="302"/>
      <c r="Z11" s="302"/>
      <c r="AA11" s="302"/>
      <c r="AB11" s="302"/>
      <c r="AC11" s="302"/>
      <c r="AD11" s="352">
        <v>23</v>
      </c>
    </row>
    <row r="12" spans="1:30" s="1748" customFormat="1" ht="11.25" hidden="1" customHeight="1">
      <c r="A12" s="1292"/>
      <c r="B12" s="1292"/>
      <c r="C12" s="1292"/>
      <c r="D12" s="1292"/>
      <c r="E12" s="1292"/>
      <c r="F12" s="1292"/>
      <c r="G12" s="1292"/>
      <c r="H12" s="1292"/>
      <c r="L12" s="4303"/>
      <c r="M12" s="4303"/>
      <c r="N12" s="1211"/>
      <c r="O12" s="261"/>
      <c r="P12" s="261"/>
      <c r="Q12" s="261"/>
      <c r="R12" s="261"/>
      <c r="S12" s="261"/>
      <c r="T12" s="261"/>
      <c r="U12" s="261"/>
      <c r="V12" s="213" t="s">
        <v>632</v>
      </c>
      <c r="Y12" s="302"/>
      <c r="Z12" s="302"/>
      <c r="AA12" s="302"/>
      <c r="AB12" s="302"/>
      <c r="AC12" s="302"/>
      <c r="AD12" s="352">
        <v>0</v>
      </c>
    </row>
    <row r="13" spans="1:30" ht="14.65" customHeight="1">
      <c r="J13" s="310"/>
      <c r="K13" s="310"/>
      <c r="L13" s="1199"/>
      <c r="M13" s="297"/>
      <c r="N13" s="1168"/>
      <c r="O13" s="4045"/>
      <c r="P13" s="4045"/>
      <c r="Q13" s="4045"/>
      <c r="R13" s="4045"/>
      <c r="S13" s="4045"/>
      <c r="T13" s="4045"/>
      <c r="U13" s="4045"/>
      <c r="V13" s="4045"/>
      <c r="AD13" s="1079">
        <v>14</v>
      </c>
    </row>
    <row r="14" spans="1:30" ht="14.65" customHeight="1">
      <c r="J14" s="310"/>
      <c r="K14" s="310"/>
      <c r="L14" s="3889" t="s">
        <v>508</v>
      </c>
      <c r="M14" s="3889"/>
      <c r="N14" s="3889"/>
      <c r="O14" s="3889"/>
      <c r="P14" s="3889"/>
      <c r="Q14" s="3889"/>
      <c r="R14" s="3889"/>
      <c r="S14" s="3889"/>
      <c r="T14" s="3889"/>
      <c r="U14" s="3889"/>
      <c r="V14" s="3889"/>
      <c r="W14" s="3889"/>
      <c r="X14" s="3889" t="s">
        <v>509</v>
      </c>
      <c r="AD14" s="1079">
        <v>14</v>
      </c>
    </row>
    <row r="15" spans="1:30" ht="14.65" customHeight="1">
      <c r="J15" s="310"/>
      <c r="K15" s="310"/>
      <c r="L15" s="4046" t="s">
        <v>75</v>
      </c>
      <c r="M15" s="3995" t="s">
        <v>633</v>
      </c>
      <c r="N15" s="236"/>
      <c r="O15" s="4047" t="s">
        <v>2425</v>
      </c>
      <c r="P15" s="4048"/>
      <c r="Q15" s="4048"/>
      <c r="R15" s="4048"/>
      <c r="S15" s="4048"/>
      <c r="T15" s="4048"/>
      <c r="U15" s="4049"/>
      <c r="V15" s="4050" t="s">
        <v>635</v>
      </c>
      <c r="W15" s="4053" t="s">
        <v>1353</v>
      </c>
      <c r="X15" s="3889"/>
      <c r="AD15" s="1079">
        <v>14</v>
      </c>
    </row>
    <row r="16" spans="1:30" ht="35.65" customHeight="1">
      <c r="J16" s="310"/>
      <c r="K16" s="310"/>
      <c r="L16" s="4046"/>
      <c r="M16" s="3995"/>
      <c r="N16" s="958"/>
      <c r="O16" s="3967" t="s">
        <v>638</v>
      </c>
      <c r="P16" s="3967" t="s">
        <v>639</v>
      </c>
      <c r="Q16" s="3870" t="s">
        <v>640</v>
      </c>
      <c r="R16" s="3869"/>
      <c r="S16" s="3870" t="s">
        <v>653</v>
      </c>
      <c r="T16" s="3875"/>
      <c r="U16" s="3869"/>
      <c r="V16" s="4051"/>
      <c r="W16" s="4054"/>
      <c r="X16" s="3889"/>
      <c r="AD16" s="1079">
        <v>34</v>
      </c>
    </row>
    <row r="17" spans="1:30" ht="35.65" customHeight="1">
      <c r="A17" s="1294" t="s">
        <v>206</v>
      </c>
      <c r="B17" s="1294" t="s">
        <v>207</v>
      </c>
      <c r="C17" s="1294" t="s">
        <v>208</v>
      </c>
      <c r="D17" s="1294" t="s">
        <v>209</v>
      </c>
      <c r="E17" s="1294"/>
      <c r="J17" s="310"/>
      <c r="K17" s="310"/>
      <c r="L17" s="4046"/>
      <c r="M17" s="3995"/>
      <c r="N17" s="237"/>
      <c r="O17" s="4019"/>
      <c r="P17" s="4019"/>
      <c r="Q17" s="1146" t="s">
        <v>649</v>
      </c>
      <c r="R17" s="1146" t="s">
        <v>650</v>
      </c>
      <c r="S17" s="1216" t="s">
        <v>651</v>
      </c>
      <c r="T17" s="4000" t="s">
        <v>652</v>
      </c>
      <c r="U17" s="4013"/>
      <c r="V17" s="4052"/>
      <c r="W17" s="4055"/>
      <c r="X17" s="3889"/>
      <c r="AD17" s="1079">
        <v>34</v>
      </c>
    </row>
    <row r="18" spans="1:30" s="1565" customFormat="1" ht="11.45" customHeight="1">
      <c r="A18" s="1294"/>
      <c r="B18" s="1294"/>
      <c r="C18" s="1294"/>
      <c r="D18" s="1294"/>
      <c r="E18" s="1294"/>
      <c r="F18" s="1286"/>
      <c r="G18" s="1286"/>
      <c r="H18" s="1286"/>
      <c r="I18" s="1170"/>
      <c r="J18" s="1171"/>
      <c r="K18" s="1178">
        <v>1</v>
      </c>
      <c r="L18" s="1201" t="s">
        <v>184</v>
      </c>
      <c r="M18" s="1179" t="s">
        <v>89</v>
      </c>
      <c r="N18" s="1169" t="str">
        <f ca="1">OFFSET(N18,0,-1)</f>
        <v>2</v>
      </c>
      <c r="O18" s="1213">
        <f ca="1">OFFSET(O18,0,-1)+1</f>
        <v>3</v>
      </c>
      <c r="P18" s="1213"/>
      <c r="Q18" s="1213">
        <f ca="1">OFFSET(Q18,0,-1)+1</f>
        <v>1</v>
      </c>
      <c r="R18" s="1213">
        <f ca="1">OFFSET(R18,0,-1)+1</f>
        <v>2</v>
      </c>
      <c r="S18" s="1213">
        <f ca="1">OFFSET(S18,0,-1)+1</f>
        <v>3</v>
      </c>
      <c r="T18" s="4044">
        <f ca="1">OFFSET(T18,0,-1)+1</f>
        <v>4</v>
      </c>
      <c r="U18" s="4044"/>
      <c r="V18" s="1213">
        <f ca="1">OFFSET(V18,0,-2)+1</f>
        <v>5</v>
      </c>
      <c r="W18" s="1169">
        <f ca="1">OFFSET(W18,0,-1)</f>
        <v>5</v>
      </c>
      <c r="X18" s="1213">
        <f ca="1">OFFSET(X18,0,-1)+1</f>
        <v>6</v>
      </c>
      <c r="Y18" s="445"/>
      <c r="Z18" s="445"/>
      <c r="AA18" s="445"/>
      <c r="AB18" s="445"/>
      <c r="AC18" s="445"/>
      <c r="AD18" s="430">
        <v>11</v>
      </c>
    </row>
    <row r="19" spans="1:30" ht="21" customHeight="1">
      <c r="A19" s="1287" t="s">
        <v>293</v>
      </c>
      <c r="B19" s="1287" t="s">
        <v>294</v>
      </c>
      <c r="C19" s="1287" t="s">
        <v>295</v>
      </c>
      <c r="D19" s="1287" t="s">
        <v>296</v>
      </c>
      <c r="E19" s="1287"/>
      <c r="F19" s="1289"/>
      <c r="G19" s="1289"/>
      <c r="H19" s="1289"/>
      <c r="I19" s="295"/>
      <c r="J19" s="294"/>
      <c r="K19" s="289"/>
      <c r="L19" s="1217">
        <f>INDEX(PT_DIFFERENTIATION_NUM_NTAR,MATCH(A19,PT_DIFFERENTIATION_NTAR_ID,0))</f>
        <v>1</v>
      </c>
      <c r="M19" s="233" t="s">
        <v>195</v>
      </c>
      <c r="N19" s="235"/>
      <c r="O19" s="4302" t="str">
        <f>INDEX(PT_DIFFERENTIATION_NTAR,MATCH(A19,PT_DIFFERENTIATION_NTAR_ID,0))</f>
        <v>Тариф на теплоноситель, посталяемый потребителям</v>
      </c>
      <c r="P19" s="4302"/>
      <c r="Q19" s="4302"/>
      <c r="R19" s="4302"/>
      <c r="S19" s="4302"/>
      <c r="T19" s="4302"/>
      <c r="U19" s="4302"/>
      <c r="V19" s="4302"/>
      <c r="W19" s="4302"/>
      <c r="X19" s="1182" t="s">
        <v>604</v>
      </c>
      <c r="Z19" s="434"/>
      <c r="AA19" s="434" t="str">
        <f t="shared" ref="AA19:AA32" si="0">IF(M19="","",M19)</f>
        <v>Наименование тарифа</v>
      </c>
      <c r="AB19" s="434"/>
      <c r="AC19" s="434"/>
      <c r="AD19" s="1079">
        <v>20</v>
      </c>
    </row>
    <row r="20" spans="1:30" ht="21" customHeight="1">
      <c r="A20" s="1287" t="s">
        <v>293</v>
      </c>
      <c r="B20" s="1287" t="s">
        <v>294</v>
      </c>
      <c r="C20" s="1287" t="s">
        <v>295</v>
      </c>
      <c r="D20" s="1287" t="s">
        <v>296</v>
      </c>
      <c r="E20" s="1287"/>
      <c r="F20" s="1289"/>
      <c r="G20" s="1289"/>
      <c r="H20" s="1289"/>
      <c r="I20" s="1214"/>
      <c r="J20" s="286"/>
      <c r="K20" s="287"/>
      <c r="L20" s="1217" t="str">
        <f>INDEX(PT_DIFFERENTIATION_NUM_TER,MATCH(B19,PT_DIFFERENTIATION_TER_ID,0))</f>
        <v>1.1</v>
      </c>
      <c r="M20" s="243" t="s">
        <v>605</v>
      </c>
      <c r="N20" s="235"/>
      <c r="O20" s="4302" t="str">
        <f>INDEX(PT_DIFFERENTIATION_TER,MATCH(B19,PT_DIFFERENTIATION_TER_ID,0))</f>
        <v>Территория 1</v>
      </c>
      <c r="P20" s="4302"/>
      <c r="Q20" s="4302"/>
      <c r="R20" s="4302"/>
      <c r="S20" s="4302"/>
      <c r="T20" s="4302"/>
      <c r="U20" s="4302"/>
      <c r="V20" s="4302"/>
      <c r="W20" s="4302"/>
      <c r="X20" s="1182" t="s">
        <v>606</v>
      </c>
      <c r="Z20" s="434"/>
      <c r="AA20" s="434" t="str">
        <f t="shared" si="0"/>
        <v>Территория действия тарифа</v>
      </c>
      <c r="AB20" s="434"/>
      <c r="AC20" s="434"/>
      <c r="AD20" s="1079">
        <v>20</v>
      </c>
    </row>
    <row r="21" spans="1:30" ht="24" customHeight="1">
      <c r="A21" s="1287" t="s">
        <v>293</v>
      </c>
      <c r="B21" s="1287" t="s">
        <v>294</v>
      </c>
      <c r="C21" s="1287" t="s">
        <v>295</v>
      </c>
      <c r="D21" s="1287" t="s">
        <v>296</v>
      </c>
      <c r="E21" s="1287"/>
      <c r="F21" s="1289"/>
      <c r="G21" s="1289"/>
      <c r="H21" s="1289"/>
      <c r="I21" s="288"/>
      <c r="J21" s="286"/>
      <c r="K21" s="287"/>
      <c r="L21" s="1217" t="str">
        <f>INDEX(PT_DIFFERENTIATION_NUM_CS,MATCH(C19,PT_DIFFERENTIATION_CS_ID,0))</f>
        <v>1.1.1</v>
      </c>
      <c r="M21" s="244" t="s">
        <v>607</v>
      </c>
      <c r="N21" s="235"/>
      <c r="O21" s="4302" t="str">
        <f>INDEX(PT_DIFFERENTIATION_CS,MATCH(C19,PT_DIFFERENTIATION_CS_ID,0))</f>
        <v>котельная г. Вязьма, ул. Московская</v>
      </c>
      <c r="P21" s="4302"/>
      <c r="Q21" s="4302"/>
      <c r="R21" s="4302"/>
      <c r="S21" s="4302"/>
      <c r="T21" s="4302"/>
      <c r="U21" s="4302"/>
      <c r="V21" s="4302"/>
      <c r="W21" s="4302"/>
      <c r="X21" s="1182" t="s">
        <v>608</v>
      </c>
      <c r="Z21" s="434"/>
      <c r="AA21" s="434" t="str">
        <f t="shared" si="0"/>
        <v xml:space="preserve">Наименование системы теплоснабжения </v>
      </c>
      <c r="AB21" s="434"/>
      <c r="AC21" s="434"/>
      <c r="AD21" s="1079">
        <v>23</v>
      </c>
    </row>
    <row r="22" spans="1:30" ht="21" customHeight="1">
      <c r="A22" s="1287" t="s">
        <v>293</v>
      </c>
      <c r="B22" s="1287" t="s">
        <v>294</v>
      </c>
      <c r="C22" s="1287" t="s">
        <v>295</v>
      </c>
      <c r="D22" s="1287" t="s">
        <v>296</v>
      </c>
      <c r="E22" s="1287"/>
      <c r="F22" s="1289"/>
      <c r="G22" s="1289"/>
      <c r="H22" s="1289"/>
      <c r="I22" s="288"/>
      <c r="J22" s="286"/>
      <c r="K22" s="287"/>
      <c r="L22" s="1217" t="str">
        <f>INDEX(PT_DIFFERENTIATION_NUM_IST_TE,MATCH(D19,PT_DIFFERENTIATION_IST_TE_ID,0))</f>
        <v>1.1.1.1</v>
      </c>
      <c r="M22" s="245" t="s">
        <v>609</v>
      </c>
      <c r="N22" s="235"/>
      <c r="O22" s="4302" t="str">
        <f>INDEX(PT_DIFFERENTIATION_IST_TE,MATCH(D19,PT_DIFFERENTIATION_IST_TE_ID,0))</f>
        <v>без дифференциации</v>
      </c>
      <c r="P22" s="4302"/>
      <c r="Q22" s="4302"/>
      <c r="R22" s="4302"/>
      <c r="S22" s="4302"/>
      <c r="T22" s="4302"/>
      <c r="U22" s="4302"/>
      <c r="V22" s="4302"/>
      <c r="W22" s="4302"/>
      <c r="X22" s="1182" t="s">
        <v>610</v>
      </c>
      <c r="Z22" s="434"/>
      <c r="AA22" s="434" t="str">
        <f t="shared" si="0"/>
        <v xml:space="preserve">Источник тепловой энергии  </v>
      </c>
      <c r="AB22" s="434"/>
      <c r="AC22" s="434"/>
      <c r="AD22" s="1079">
        <v>20</v>
      </c>
    </row>
    <row r="23" spans="1:30" ht="96.75" customHeight="1">
      <c r="A23" s="1287" t="s">
        <v>293</v>
      </c>
      <c r="B23" s="1287" t="s">
        <v>294</v>
      </c>
      <c r="C23" s="1287" t="s">
        <v>295</v>
      </c>
      <c r="D23" s="1287" t="s">
        <v>296</v>
      </c>
      <c r="E23" s="1287"/>
      <c r="F23" s="3877" t="str">
        <f>L22&amp;".1"</f>
        <v>1.1.1.1.1</v>
      </c>
      <c r="I23" s="4037">
        <v>1</v>
      </c>
      <c r="J23" s="1215"/>
      <c r="K23" s="290"/>
      <c r="L23" s="1217" t="str">
        <f>$F$23</f>
        <v>1.1.1.1.1</v>
      </c>
      <c r="M23" s="220" t="s">
        <v>612</v>
      </c>
      <c r="N23" s="235"/>
      <c r="O23" s="4067"/>
      <c r="P23" s="4067"/>
      <c r="Q23" s="4067"/>
      <c r="R23" s="4067"/>
      <c r="S23" s="4067"/>
      <c r="T23" s="4067"/>
      <c r="U23" s="4067"/>
      <c r="V23" s="4067"/>
      <c r="W23" s="4067"/>
      <c r="X23" s="1182" t="s">
        <v>613</v>
      </c>
      <c r="Z23" s="434"/>
      <c r="AA23" s="434" t="str">
        <f t="shared" si="0"/>
        <v>Схема подключения теплопотребляющей установки к коллектору источника тепловой энергии</v>
      </c>
      <c r="AB23" s="434"/>
      <c r="AC23" s="434"/>
      <c r="AD23" s="1079">
        <v>92</v>
      </c>
    </row>
    <row r="24" spans="1:30" ht="86.25" customHeight="1">
      <c r="A24" s="1287" t="s">
        <v>293</v>
      </c>
      <c r="B24" s="1287" t="s">
        <v>294</v>
      </c>
      <c r="C24" s="1287" t="s">
        <v>295</v>
      </c>
      <c r="D24" s="1287" t="s">
        <v>296</v>
      </c>
      <c r="E24" s="1287"/>
      <c r="F24" s="3877"/>
      <c r="G24" s="3877" t="str">
        <f>F23&amp;".1"</f>
        <v>1.1.1.1.1.1</v>
      </c>
      <c r="I24" s="4037"/>
      <c r="J24" s="4037">
        <v>1</v>
      </c>
      <c r="K24" s="291"/>
      <c r="L24" s="1217" t="str">
        <f>$G$24</f>
        <v>1.1.1.1.1.1</v>
      </c>
      <c r="M24" s="221" t="s">
        <v>615</v>
      </c>
      <c r="N24" s="235"/>
      <c r="O24" s="4021"/>
      <c r="P24" s="4022"/>
      <c r="Q24" s="4022"/>
      <c r="R24" s="4022"/>
      <c r="S24" s="4022"/>
      <c r="T24" s="4022"/>
      <c r="U24" s="4022"/>
      <c r="V24" s="4022"/>
      <c r="W24" s="4023"/>
      <c r="X24" s="1182" t="s">
        <v>616</v>
      </c>
      <c r="Z24" s="434"/>
      <c r="AA24" s="434" t="str">
        <f t="shared" si="0"/>
        <v>Группа потребителей</v>
      </c>
      <c r="AB24" s="434"/>
      <c r="AC24" s="434"/>
      <c r="AD24" s="1079">
        <v>82</v>
      </c>
    </row>
    <row r="25" spans="1:30" ht="11.45" customHeight="1">
      <c r="A25" s="1287" t="s">
        <v>293</v>
      </c>
      <c r="B25" s="1287" t="s">
        <v>294</v>
      </c>
      <c r="C25" s="1287" t="s">
        <v>295</v>
      </c>
      <c r="D25" s="1287" t="s">
        <v>296</v>
      </c>
      <c r="E25" s="1287"/>
      <c r="F25" s="3877"/>
      <c r="G25" s="3877"/>
      <c r="H25" s="3877" t="str">
        <f>G24&amp;".1"</f>
        <v>1.1.1.1.1.1.1</v>
      </c>
      <c r="I25" s="4037"/>
      <c r="J25" s="4037"/>
      <c r="K25" s="291">
        <v>1</v>
      </c>
      <c r="L25" s="1217" t="str">
        <f>$H$25</f>
        <v>1.1.1.1.1.1.1</v>
      </c>
      <c r="M25" s="1271"/>
      <c r="N25" s="235"/>
      <c r="O25" s="685"/>
      <c r="P25" s="260"/>
      <c r="Q25" s="685"/>
      <c r="R25" s="1181"/>
      <c r="S25" s="4038"/>
      <c r="T25" s="3899" t="s">
        <v>53</v>
      </c>
      <c r="U25" s="4038"/>
      <c r="V25" s="3899" t="s">
        <v>6</v>
      </c>
      <c r="W25" s="260"/>
      <c r="X25" s="4056" t="s">
        <v>618</v>
      </c>
      <c r="Y25" s="445" t="e">
        <f ca="1">STRCHECKDATE(O26:W26)</f>
        <v>#NAME?</v>
      </c>
      <c r="Z25" s="434"/>
      <c r="AA25" s="434" t="str">
        <f t="shared" si="0"/>
        <v/>
      </c>
      <c r="AB25" s="434"/>
      <c r="AC25" s="434"/>
      <c r="AD25" s="1079">
        <v>11</v>
      </c>
    </row>
    <row r="26" spans="1:30" ht="11.45" customHeight="1">
      <c r="A26" s="1287" t="s">
        <v>293</v>
      </c>
      <c r="B26" s="1287" t="s">
        <v>294</v>
      </c>
      <c r="C26" s="1287" t="s">
        <v>295</v>
      </c>
      <c r="D26" s="1287" t="s">
        <v>296</v>
      </c>
      <c r="E26" s="1287"/>
      <c r="F26" s="3877"/>
      <c r="G26" s="3877"/>
      <c r="H26" s="3877"/>
      <c r="I26" s="4037"/>
      <c r="J26" s="4037"/>
      <c r="K26" s="291"/>
      <c r="L26" s="1218"/>
      <c r="M26" s="235"/>
      <c r="N26" s="235"/>
      <c r="O26" s="260"/>
      <c r="P26" s="260"/>
      <c r="Q26" s="260"/>
      <c r="R26" s="263" t="str">
        <f>S25&amp;"-"&amp;U25</f>
        <v>-</v>
      </c>
      <c r="S26" s="4039"/>
      <c r="T26" s="3899"/>
      <c r="U26" s="4039"/>
      <c r="V26" s="3899"/>
      <c r="W26" s="260"/>
      <c r="X26" s="4057"/>
      <c r="Z26" s="434"/>
      <c r="AA26" s="434" t="str">
        <f t="shared" si="0"/>
        <v/>
      </c>
      <c r="AB26" s="434"/>
      <c r="AC26" s="434"/>
      <c r="AD26" s="1079">
        <v>11</v>
      </c>
    </row>
    <row r="27" spans="1:30" ht="15.75" customHeight="1">
      <c r="A27" s="1287" t="s">
        <v>293</v>
      </c>
      <c r="B27" s="1287" t="s">
        <v>294</v>
      </c>
      <c r="C27" s="1287" t="s">
        <v>295</v>
      </c>
      <c r="D27" s="1287" t="s">
        <v>296</v>
      </c>
      <c r="E27" s="1287"/>
      <c r="F27" s="3877"/>
      <c r="G27" s="3877"/>
      <c r="I27" s="4037"/>
      <c r="J27" s="4037"/>
      <c r="K27" s="290"/>
      <c r="L27" s="1202"/>
      <c r="M27" s="223" t="s">
        <v>619</v>
      </c>
      <c r="N27" s="301"/>
      <c r="O27" s="301"/>
      <c r="P27" s="301"/>
      <c r="Q27" s="301"/>
      <c r="R27" s="301"/>
      <c r="S27" s="301"/>
      <c r="T27" s="301"/>
      <c r="U27" s="301"/>
      <c r="V27" s="301"/>
      <c r="W27" s="259"/>
      <c r="X27" s="4058"/>
      <c r="Z27" s="434"/>
      <c r="AA27" s="434" t="str">
        <f t="shared" si="0"/>
        <v>Добавить вид теплоносителя (параметры теплоносителя)</v>
      </c>
      <c r="AB27" s="434"/>
      <c r="AC27" s="434"/>
      <c r="AD27" s="1079">
        <v>15</v>
      </c>
    </row>
    <row r="28" spans="1:30" ht="15.75" customHeight="1">
      <c r="A28" s="1287" t="s">
        <v>293</v>
      </c>
      <c r="B28" s="1287" t="s">
        <v>294</v>
      </c>
      <c r="C28" s="1287" t="s">
        <v>295</v>
      </c>
      <c r="D28" s="1287" t="s">
        <v>296</v>
      </c>
      <c r="E28" s="1287"/>
      <c r="F28" s="3877"/>
      <c r="I28" s="4037"/>
      <c r="J28" s="1215"/>
      <c r="K28" s="290"/>
      <c r="L28" s="1202"/>
      <c r="M28" s="222" t="s">
        <v>620</v>
      </c>
      <c r="N28" s="301"/>
      <c r="O28" s="301"/>
      <c r="P28" s="301"/>
      <c r="Q28" s="301"/>
      <c r="R28" s="301"/>
      <c r="S28" s="301"/>
      <c r="T28" s="301"/>
      <c r="U28" s="301"/>
      <c r="V28" s="300"/>
      <c r="W28" s="301"/>
      <c r="X28" s="238"/>
      <c r="Z28" s="434"/>
      <c r="AA28" s="434" t="str">
        <f t="shared" si="0"/>
        <v>Добавить группу потребителей</v>
      </c>
      <c r="AB28" s="434"/>
      <c r="AC28" s="434"/>
      <c r="AD28" s="1079">
        <v>15</v>
      </c>
    </row>
    <row r="29" spans="1:30" ht="14.65" customHeight="1">
      <c r="A29" s="1287" t="s">
        <v>293</v>
      </c>
      <c r="B29" s="1287" t="s">
        <v>294</v>
      </c>
      <c r="C29" s="1287" t="s">
        <v>295</v>
      </c>
      <c r="D29" s="1287" t="s">
        <v>296</v>
      </c>
      <c r="E29" s="1287"/>
      <c r="F29" s="1289"/>
      <c r="G29" s="1289"/>
      <c r="H29" s="471"/>
      <c r="I29" s="294"/>
      <c r="J29" s="309"/>
      <c r="K29" s="289"/>
      <c r="L29" s="1202"/>
      <c r="M29" s="299" t="s">
        <v>621</v>
      </c>
      <c r="N29" s="301"/>
      <c r="O29" s="301"/>
      <c r="P29" s="301"/>
      <c r="Q29" s="301"/>
      <c r="R29" s="301"/>
      <c r="S29" s="301"/>
      <c r="T29" s="301"/>
      <c r="U29" s="301"/>
      <c r="V29" s="300"/>
      <c r="W29" s="301"/>
      <c r="X29" s="238"/>
      <c r="Z29" s="434"/>
      <c r="AA29" s="434" t="str">
        <f t="shared" si="0"/>
        <v>Добавить схему подключения</v>
      </c>
      <c r="AB29" s="434"/>
      <c r="AC29" s="434"/>
      <c r="AD29" s="1079">
        <v>14</v>
      </c>
    </row>
    <row r="30" spans="1:30" ht="14.65" customHeight="1">
      <c r="A30" s="1287" t="s">
        <v>293</v>
      </c>
      <c r="B30" s="1287" t="s">
        <v>294</v>
      </c>
      <c r="C30" s="1287" t="s">
        <v>295</v>
      </c>
      <c r="D30" s="1287"/>
      <c r="E30" s="1287" t="s">
        <v>795</v>
      </c>
      <c r="F30" s="1289"/>
      <c r="G30" s="1289"/>
      <c r="H30" s="471"/>
      <c r="I30" s="294"/>
      <c r="J30" s="309"/>
      <c r="K30" s="289"/>
      <c r="L30" s="1203"/>
      <c r="M30" s="1192"/>
      <c r="N30" s="1193"/>
      <c r="O30" s="1193"/>
      <c r="P30" s="1193"/>
      <c r="Q30" s="1193"/>
      <c r="R30" s="1193"/>
      <c r="S30" s="1193"/>
      <c r="T30" s="1193"/>
      <c r="U30" s="1193"/>
      <c r="V30" s="1194"/>
      <c r="W30" s="1193"/>
      <c r="X30" s="1195"/>
      <c r="Z30" s="434"/>
      <c r="AA30" s="434" t="str">
        <f t="shared" si="0"/>
        <v/>
      </c>
      <c r="AB30" s="434"/>
      <c r="AC30" s="434"/>
      <c r="AD30" s="1079">
        <v>14</v>
      </c>
    </row>
    <row r="31" spans="1:30" ht="14.65" customHeight="1">
      <c r="A31" s="1287" t="s">
        <v>293</v>
      </c>
      <c r="B31" s="1287" t="s">
        <v>294</v>
      </c>
      <c r="C31" s="1287"/>
      <c r="D31" s="1287"/>
      <c r="E31" s="1287" t="s">
        <v>2426</v>
      </c>
      <c r="F31" s="1441"/>
      <c r="G31" s="1441"/>
      <c r="H31" s="471"/>
      <c r="I31" s="292"/>
      <c r="J31" s="309"/>
      <c r="K31" s="293"/>
      <c r="L31" s="1203"/>
      <c r="M31" s="1196"/>
      <c r="N31" s="1193"/>
      <c r="O31" s="1193"/>
      <c r="P31" s="1193"/>
      <c r="Q31" s="1193"/>
      <c r="R31" s="1193"/>
      <c r="S31" s="1193"/>
      <c r="T31" s="1193"/>
      <c r="U31" s="1193"/>
      <c r="V31" s="1194"/>
      <c r="W31" s="1193"/>
      <c r="X31" s="1195"/>
      <c r="Z31" s="434"/>
      <c r="AA31" s="434" t="str">
        <f t="shared" si="0"/>
        <v/>
      </c>
      <c r="AB31" s="434"/>
      <c r="AC31" s="434"/>
      <c r="AD31" s="1079">
        <v>14</v>
      </c>
    </row>
    <row r="32" spans="1:30" ht="14.65" customHeight="1">
      <c r="A32" s="1287" t="s">
        <v>2427</v>
      </c>
      <c r="B32" s="1287"/>
      <c r="C32" s="1287"/>
      <c r="D32" s="1287"/>
      <c r="E32" s="1287" t="s">
        <v>179</v>
      </c>
      <c r="F32" s="1441"/>
      <c r="G32" s="1441"/>
      <c r="H32" s="471"/>
      <c r="I32" s="294"/>
      <c r="J32" s="309"/>
      <c r="K32" s="289"/>
      <c r="L32" s="1203"/>
      <c r="M32" s="1197"/>
      <c r="N32" s="1193"/>
      <c r="O32" s="1193"/>
      <c r="P32" s="1193"/>
      <c r="Q32" s="1193"/>
      <c r="R32" s="1193"/>
      <c r="S32" s="1193"/>
      <c r="T32" s="1193"/>
      <c r="U32" s="1193"/>
      <c r="V32" s="1194"/>
      <c r="W32" s="1193"/>
      <c r="X32" s="1195"/>
      <c r="Z32" s="434"/>
      <c r="AA32" s="434" t="str">
        <f t="shared" si="0"/>
        <v/>
      </c>
      <c r="AB32" s="434"/>
      <c r="AC32" s="434"/>
      <c r="AD32" s="1079">
        <v>14</v>
      </c>
    </row>
    <row r="33" spans="1:30" s="1745" customFormat="1" ht="11.45" customHeight="1">
      <c r="A33" s="1287"/>
      <c r="B33" s="1287"/>
      <c r="C33" s="1287"/>
      <c r="D33" s="1287"/>
      <c r="E33" s="1287" t="s">
        <v>287</v>
      </c>
      <c r="F33" s="1442"/>
      <c r="G33" s="1443"/>
      <c r="H33" s="471"/>
      <c r="L33" s="1204"/>
      <c r="M33" s="1198"/>
      <c r="N33" s="1193"/>
      <c r="O33" s="1193"/>
      <c r="P33" s="1193"/>
      <c r="Q33" s="1193"/>
      <c r="R33" s="1193"/>
      <c r="S33" s="1193"/>
      <c r="T33" s="1193"/>
      <c r="U33" s="1193"/>
      <c r="V33" s="1194"/>
      <c r="W33" s="1193"/>
      <c r="X33" s="1195"/>
      <c r="Y33" s="313"/>
      <c r="Z33" s="313"/>
      <c r="AA33" s="313"/>
      <c r="AB33" s="313"/>
      <c r="AC33" s="313"/>
      <c r="AD33" s="307">
        <v>11</v>
      </c>
    </row>
    <row r="34" spans="1:30" ht="11.45" customHeight="1">
      <c r="F34" s="1084"/>
      <c r="G34" s="1084"/>
      <c r="H34" s="471"/>
      <c r="I34" s="1079"/>
      <c r="J34" s="1079"/>
      <c r="K34" s="1079"/>
      <c r="Y34" s="1079"/>
      <c r="Z34" s="1079"/>
      <c r="AA34" s="1079"/>
      <c r="AB34" s="1079"/>
      <c r="AC34" s="1079"/>
      <c r="AD34" s="1079">
        <v>11</v>
      </c>
    </row>
    <row r="35" spans="1:30" ht="28.5" customHeight="1">
      <c r="H35" s="471"/>
      <c r="L35" s="1212" t="s">
        <v>1012</v>
      </c>
      <c r="M35" s="4032" t="s">
        <v>2428</v>
      </c>
      <c r="N35" s="4032"/>
      <c r="O35" s="4032"/>
      <c r="P35" s="4032"/>
      <c r="Q35" s="4032"/>
      <c r="R35" s="4032"/>
      <c r="S35" s="4032"/>
      <c r="T35" s="4032"/>
      <c r="U35" s="4032"/>
      <c r="V35" s="4032"/>
      <c r="W35" s="4032"/>
      <c r="X35" s="4032"/>
      <c r="AD35" s="1079">
        <v>27</v>
      </c>
    </row>
    <row r="36" spans="1:30" ht="109.15" customHeight="1">
      <c r="H36" s="471"/>
      <c r="I36" s="1227"/>
      <c r="M36" s="4032" t="s">
        <v>2429</v>
      </c>
      <c r="N36" s="4032"/>
      <c r="O36" s="4032"/>
      <c r="P36" s="4032"/>
      <c r="Q36" s="4032"/>
      <c r="R36" s="4032"/>
      <c r="S36" s="4032"/>
      <c r="T36" s="4032"/>
      <c r="U36" s="4032"/>
      <c r="V36" s="4032"/>
      <c r="W36" s="4032"/>
      <c r="X36" s="4032"/>
      <c r="AD36" s="1079">
        <v>104</v>
      </c>
    </row>
    <row r="37" spans="1:30" ht="14.65" customHeight="1">
      <c r="H37" s="471"/>
      <c r="AD37" s="1079">
        <v>14</v>
      </c>
    </row>
    <row r="38" spans="1:30" ht="14.65" customHeight="1">
      <c r="H38" s="471"/>
      <c r="AD38" s="1079">
        <v>14</v>
      </c>
    </row>
    <row r="39" spans="1:30" ht="14.65" customHeight="1">
      <c r="H39" s="471"/>
      <c r="AD39" s="1079">
        <v>14</v>
      </c>
    </row>
    <row r="40" spans="1:30" ht="14.65" customHeight="1">
      <c r="H40" s="471"/>
      <c r="AD40" s="1079">
        <v>14</v>
      </c>
    </row>
    <row r="41" spans="1:30" ht="22.5" hidden="1" customHeight="1">
      <c r="A41" s="1084" t="s">
        <v>69</v>
      </c>
      <c r="B41" s="1084">
        <v>0</v>
      </c>
      <c r="C41" s="1084">
        <v>0</v>
      </c>
      <c r="D41" s="1084">
        <v>0</v>
      </c>
      <c r="E41" s="1084">
        <v>0</v>
      </c>
      <c r="F41" s="1286">
        <v>0</v>
      </c>
      <c r="G41" s="1286">
        <v>0</v>
      </c>
      <c r="H41" s="1286">
        <v>0</v>
      </c>
      <c r="I41" s="1210">
        <v>3</v>
      </c>
      <c r="J41" s="279">
        <v>3</v>
      </c>
      <c r="K41" s="279">
        <v>3</v>
      </c>
      <c r="L41" s="515">
        <v>12</v>
      </c>
      <c r="M41" s="1079">
        <v>31</v>
      </c>
      <c r="N41" s="1079">
        <v>1</v>
      </c>
      <c r="O41" s="1079">
        <v>24</v>
      </c>
      <c r="P41" s="1079">
        <v>24</v>
      </c>
      <c r="Q41" s="1079">
        <v>24</v>
      </c>
      <c r="R41" s="1079">
        <v>24</v>
      </c>
      <c r="S41" s="1079">
        <v>11</v>
      </c>
      <c r="T41" s="1079">
        <v>3</v>
      </c>
      <c r="U41" s="1079">
        <v>11</v>
      </c>
      <c r="V41" s="1079">
        <v>8</v>
      </c>
      <c r="W41" s="1079">
        <v>4</v>
      </c>
      <c r="X41" s="1079">
        <v>115</v>
      </c>
      <c r="Y41" s="445">
        <v>10</v>
      </c>
      <c r="Z41" s="445">
        <v>10</v>
      </c>
      <c r="AA41" s="445">
        <v>10</v>
      </c>
      <c r="AB41" s="445">
        <v>10</v>
      </c>
      <c r="AC41" s="445">
        <v>10</v>
      </c>
      <c r="AD41" s="1079">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6" hidden="1" customWidth="1"/>
    <col min="2" max="2" width="9.140625" style="1559" hidden="1" customWidth="1"/>
    <col min="3" max="3" width="3" style="1737" customWidth="1"/>
    <col min="4" max="4" width="5" style="1559" customWidth="1"/>
    <col min="5" max="5" width="48" style="1559" customWidth="1"/>
    <col min="6" max="6" width="38" style="1559" customWidth="1"/>
    <col min="7" max="7" width="1.7109375" style="1559" hidden="1" customWidth="1"/>
    <col min="8" max="11" width="19.85546875" style="1559" customWidth="1"/>
    <col min="12" max="12" width="9.7109375" style="1559" customWidth="1"/>
    <col min="13" max="18" width="19.85546875" style="1559" customWidth="1"/>
    <col min="19" max="19" width="1.7109375" style="1559" hidden="1" customWidth="1"/>
    <col min="20" max="22" width="19.85546875" style="1559" hidden="1" customWidth="1"/>
    <col min="23" max="23" width="1.7109375" style="1559" hidden="1" customWidth="1"/>
    <col min="24" max="26" width="19.85546875" style="1559" hidden="1" customWidth="1"/>
    <col min="27" max="27" width="1.7109375" style="1559" hidden="1" customWidth="1"/>
    <col min="28" max="29" width="19.85546875" style="1559" hidden="1" customWidth="1"/>
    <col min="30" max="30" width="1.7109375" style="1559" hidden="1" customWidth="1"/>
    <col min="31" max="31" width="103.7109375" style="1559" customWidth="1"/>
    <col min="32" max="34" width="103.7109375" style="1559" hidden="1" customWidth="1"/>
    <col min="35" max="35" width="3" style="1715" customWidth="1"/>
    <col min="36" max="38" width="10" style="1566" customWidth="1"/>
    <col min="39" max="39" width="13.7109375" style="1566" hidden="1" customWidth="1"/>
    <col min="40" max="40" width="15" style="1566" customWidth="1"/>
    <col min="41" max="41" width="16" style="1566" customWidth="1"/>
    <col min="42" max="45" width="10" style="1566" customWidth="1"/>
    <col min="46" max="46" width="10.5703125" style="1559" hidden="1"/>
  </cols>
  <sheetData>
    <row r="1" spans="1:46" ht="22.5" hidden="1" customHeight="1">
      <c r="E1" s="346"/>
      <c r="F1" s="346"/>
      <c r="G1" s="346"/>
      <c r="H1" s="3877" t="s">
        <v>560</v>
      </c>
      <c r="I1" s="3877"/>
      <c r="J1" s="3877"/>
      <c r="K1" s="3877"/>
      <c r="L1" s="3877"/>
      <c r="M1" s="3877"/>
      <c r="N1" s="3877"/>
      <c r="O1" s="3877"/>
      <c r="P1" s="3877"/>
      <c r="Q1" s="3877"/>
      <c r="R1" s="3877"/>
      <c r="T1" s="3877" t="s">
        <v>561</v>
      </c>
      <c r="U1" s="3877"/>
      <c r="V1" s="3877"/>
      <c r="X1" s="3877" t="s">
        <v>562</v>
      </c>
      <c r="Y1" s="3877"/>
      <c r="Z1" s="3877"/>
      <c r="AB1" s="3877" t="s">
        <v>563</v>
      </c>
      <c r="AC1" s="3877"/>
      <c r="AT1" s="381" t="s">
        <v>1</v>
      </c>
    </row>
    <row r="2" spans="1:46" ht="14.25" hidden="1" customHeight="1">
      <c r="AT2" s="381">
        <v>0</v>
      </c>
    </row>
    <row r="3" spans="1:46" s="1537" customFormat="1" ht="5.25" customHeight="1">
      <c r="C3" s="635"/>
      <c r="D3" s="636"/>
      <c r="E3" s="636"/>
      <c r="F3" s="636"/>
      <c r="G3" s="636"/>
      <c r="H3" s="636" t="s">
        <v>564</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394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945"/>
      <c r="F4" s="3945"/>
      <c r="G4" s="3945"/>
      <c r="H4" s="3945"/>
      <c r="I4" s="3945"/>
      <c r="J4" s="3945"/>
      <c r="K4" s="3945"/>
      <c r="L4" s="3945"/>
      <c r="M4" s="3945"/>
      <c r="N4" s="3945"/>
      <c r="O4" s="3945"/>
      <c r="P4" s="3945"/>
      <c r="Q4" s="3945"/>
      <c r="R4" s="3946"/>
      <c r="S4" s="781"/>
      <c r="T4" s="633"/>
      <c r="U4" s="633"/>
      <c r="V4" s="633"/>
      <c r="W4" s="633"/>
      <c r="X4" s="633"/>
      <c r="Y4" s="633"/>
      <c r="Z4" s="633"/>
      <c r="AA4" s="633"/>
      <c r="AB4" s="633"/>
      <c r="AC4" s="633"/>
      <c r="AD4" s="633"/>
      <c r="AE4" s="425"/>
      <c r="AF4" s="425"/>
      <c r="AG4" s="425"/>
      <c r="AH4" s="425"/>
      <c r="AI4" s="422"/>
      <c r="AT4" s="381">
        <v>38</v>
      </c>
    </row>
    <row r="5" spans="1:46" s="1559" customFormat="1" ht="18" customHeight="1">
      <c r="A5" s="691"/>
      <c r="C5" s="750"/>
      <c r="D5" s="4009" t="str">
        <f>IF(org=0,"Не определено",org)</f>
        <v>ООО "Смоленскрегионтеплоэнерго"</v>
      </c>
      <c r="E5" s="4010"/>
      <c r="F5" s="4010"/>
      <c r="G5" s="4010"/>
      <c r="H5" s="4010"/>
      <c r="I5" s="4010"/>
      <c r="J5" s="4010"/>
      <c r="K5" s="4010"/>
      <c r="L5" s="4010"/>
      <c r="M5" s="4010"/>
      <c r="N5" s="4010"/>
      <c r="O5" s="4010"/>
      <c r="P5" s="4010"/>
      <c r="Q5" s="4010"/>
      <c r="R5" s="4011"/>
      <c r="S5" s="781"/>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1536"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4000" t="s">
        <v>508</v>
      </c>
      <c r="E7" s="4012"/>
      <c r="F7" s="4012"/>
      <c r="G7" s="4012"/>
      <c r="H7" s="4012"/>
      <c r="I7" s="4012"/>
      <c r="J7" s="4012"/>
      <c r="K7" s="4012"/>
      <c r="L7" s="4012"/>
      <c r="M7" s="4012"/>
      <c r="N7" s="4012"/>
      <c r="O7" s="4012"/>
      <c r="P7" s="4012"/>
      <c r="Q7" s="4012"/>
      <c r="R7" s="4012"/>
      <c r="S7" s="4012"/>
      <c r="T7" s="4012"/>
      <c r="U7" s="4012"/>
      <c r="V7" s="4012"/>
      <c r="W7" s="4012"/>
      <c r="X7" s="4012"/>
      <c r="Y7" s="4012"/>
      <c r="Z7" s="4012"/>
      <c r="AA7" s="4012"/>
      <c r="AB7" s="4012"/>
      <c r="AC7" s="4012"/>
      <c r="AD7" s="4013"/>
      <c r="AE7" s="3951" t="s">
        <v>509</v>
      </c>
      <c r="AF7" s="3951" t="s">
        <v>509</v>
      </c>
      <c r="AG7" s="3951" t="s">
        <v>509</v>
      </c>
      <c r="AH7" s="3951" t="s">
        <v>509</v>
      </c>
      <c r="AT7" s="381">
        <v>14</v>
      </c>
    </row>
    <row r="8" spans="1:46" ht="27.4" customHeight="1">
      <c r="C8" s="384"/>
      <c r="D8" s="3889" t="s">
        <v>75</v>
      </c>
      <c r="E8" s="3951" t="str">
        <f>"Наименование "&amp;IF(TEMPLATE_SPHERE&lt;&gt;"HEAT","централизованной ","")&amp;"системы "&amp;TEMPLATE_SPHERE_RUS</f>
        <v>Наименование системы теплоснабжения</v>
      </c>
      <c r="F8" s="3951" t="str">
        <f>IF(TEMPLATE_SPHERE&lt;&gt;"HEAT","Регулируемый вид деятельности","Вид регулируемой деятельности")</f>
        <v>Вид регулируемой деятельности</v>
      </c>
      <c r="G8" s="756"/>
      <c r="H8" s="4001" t="s">
        <v>565</v>
      </c>
      <c r="I8" s="4005" t="s">
        <v>566</v>
      </c>
      <c r="J8" s="3951" t="s">
        <v>567</v>
      </c>
      <c r="K8" s="3951"/>
      <c r="L8" s="3951"/>
      <c r="M8" s="4000"/>
      <c r="N8" s="3951" t="s">
        <v>568</v>
      </c>
      <c r="O8" s="3951"/>
      <c r="P8" s="3951" t="s">
        <v>569</v>
      </c>
      <c r="Q8" s="3951"/>
      <c r="R8" s="4003" t="s">
        <v>570</v>
      </c>
      <c r="S8" s="752"/>
      <c r="T8" s="4001" t="s">
        <v>571</v>
      </c>
      <c r="U8" s="4001" t="s">
        <v>572</v>
      </c>
      <c r="V8" s="4001" t="s">
        <v>573</v>
      </c>
      <c r="W8" s="754"/>
      <c r="X8" s="4001" t="s">
        <v>574</v>
      </c>
      <c r="Y8" s="4001" t="s">
        <v>575</v>
      </c>
      <c r="Z8" s="4001" t="s">
        <v>576</v>
      </c>
      <c r="AA8" s="754"/>
      <c r="AB8" s="4001" t="s">
        <v>577</v>
      </c>
      <c r="AC8" s="4001" t="s">
        <v>570</v>
      </c>
      <c r="AD8" s="754"/>
      <c r="AE8" s="3951"/>
      <c r="AF8" s="3951"/>
      <c r="AG8" s="3951"/>
      <c r="AH8" s="3951"/>
      <c r="AT8" s="381">
        <v>26</v>
      </c>
    </row>
    <row r="9" spans="1:46" ht="46.15" customHeight="1">
      <c r="C9" s="384"/>
      <c r="D9" s="3889"/>
      <c r="E9" s="3951"/>
      <c r="F9" s="3951"/>
      <c r="G9" s="757"/>
      <c r="H9" s="4002"/>
      <c r="I9" s="4006"/>
      <c r="J9" s="359" t="s">
        <v>578</v>
      </c>
      <c r="K9" s="359" t="s">
        <v>579</v>
      </c>
      <c r="L9" s="359" t="s">
        <v>580</v>
      </c>
      <c r="M9" s="365" t="s">
        <v>581</v>
      </c>
      <c r="N9" s="359" t="s">
        <v>582</v>
      </c>
      <c r="O9" s="359" t="s">
        <v>581</v>
      </c>
      <c r="P9" s="359" t="s">
        <v>583</v>
      </c>
      <c r="Q9" s="359" t="s">
        <v>581</v>
      </c>
      <c r="R9" s="4004"/>
      <c r="S9" s="753"/>
      <c r="T9" s="4002"/>
      <c r="U9" s="4002"/>
      <c r="V9" s="4002"/>
      <c r="W9" s="755"/>
      <c r="X9" s="4002"/>
      <c r="Y9" s="4002"/>
      <c r="Z9" s="4002"/>
      <c r="AA9" s="755"/>
      <c r="AB9" s="4002"/>
      <c r="AC9" s="4002"/>
      <c r="AD9" s="755"/>
      <c r="AE9" s="3951"/>
      <c r="AF9" s="3951"/>
      <c r="AG9" s="3951"/>
      <c r="AH9" s="3951"/>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1565" customFormat="1" ht="11.25" hidden="1" customHeight="1">
      <c r="C11" s="432"/>
      <c r="D11" s="433" t="s">
        <v>584</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184</v>
      </c>
      <c r="E12" s="1673" t="s">
        <v>15</v>
      </c>
      <c r="F12" s="783"/>
      <c r="G12" s="784"/>
      <c r="H12" s="1674"/>
      <c r="I12" s="1674"/>
      <c r="J12" s="367"/>
      <c r="K12" s="1758"/>
      <c r="L12" s="366"/>
      <c r="M12" s="1758"/>
      <c r="N12" s="367"/>
      <c r="O12" s="1758"/>
      <c r="P12" s="367"/>
      <c r="Q12" s="1758"/>
      <c r="R12" s="367"/>
      <c r="S12" s="782"/>
      <c r="T12" s="1674"/>
      <c r="U12" s="367"/>
      <c r="V12" s="367"/>
      <c r="W12" s="755"/>
      <c r="X12" s="1674"/>
      <c r="Y12" s="367"/>
      <c r="Z12" s="367"/>
      <c r="AA12" s="755"/>
      <c r="AB12" s="1674"/>
      <c r="AC12" s="367"/>
      <c r="AD12" s="755"/>
      <c r="AE12" s="4007" t="s">
        <v>585</v>
      </c>
      <c r="AF12" s="4007" t="s">
        <v>586</v>
      </c>
      <c r="AG12" s="4007" t="s">
        <v>587</v>
      </c>
      <c r="AH12" s="4007" t="s">
        <v>588</v>
      </c>
      <c r="AI12" s="381"/>
      <c r="AM12" s="445"/>
      <c r="AP12" s="434" t="s">
        <v>589</v>
      </c>
      <c r="AQ12" s="434" t="s">
        <v>589</v>
      </c>
      <c r="AT12" s="381">
        <v>14</v>
      </c>
    </row>
    <row r="13" spans="1:46" ht="18" customHeight="1">
      <c r="A13" s="381"/>
      <c r="C13" s="384"/>
      <c r="D13" s="339"/>
      <c r="E13" s="797" t="str">
        <f>IF(TITLE_DIFFERENTIATION_TYPE="нет","","Добавить систему")</f>
        <v/>
      </c>
      <c r="F13" s="797"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5"/>
      <c r="AE13" s="4008"/>
      <c r="AF13" s="4008"/>
      <c r="AG13" s="4008"/>
      <c r="AH13" s="4008"/>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69</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81" t="s">
        <v>2430</v>
      </c>
      <c r="B1" s="1982" t="s">
        <v>2431</v>
      </c>
      <c r="C1" s="4306" t="s">
        <v>2432</v>
      </c>
      <c r="D1" s="4307"/>
      <c r="E1" s="764" t="s">
        <v>2433</v>
      </c>
    </row>
    <row r="2" spans="1:5" ht="11.25" customHeight="1">
      <c r="A2" s="1983"/>
      <c r="B2" s="697" t="s">
        <v>13</v>
      </c>
      <c r="C2" s="687"/>
      <c r="D2" s="696"/>
      <c r="E2" s="764"/>
    </row>
    <row r="3" spans="1:5" ht="11.25" customHeight="1">
      <c r="A3" s="1984"/>
      <c r="B3" s="1985" t="s">
        <v>20</v>
      </c>
      <c r="C3" s="687"/>
      <c r="D3" s="696"/>
      <c r="E3" s="764"/>
    </row>
    <row r="4" spans="1:5" ht="11.25" customHeight="1">
      <c r="A4" s="1986"/>
      <c r="B4" s="698" t="s">
        <v>1860</v>
      </c>
      <c r="C4" s="687"/>
      <c r="D4" s="696"/>
      <c r="E4" s="764"/>
    </row>
    <row r="5" spans="1:5" ht="11.25" customHeight="1">
      <c r="A5" s="1987"/>
      <c r="B5" s="698" t="s">
        <v>1854</v>
      </c>
      <c r="C5" s="1988" t="s">
        <v>2197</v>
      </c>
      <c r="D5" s="1989" t="s">
        <v>2434</v>
      </c>
      <c r="E5" s="764"/>
    </row>
    <row r="6" spans="1:5" s="1745" customFormat="1" ht="11.25" customHeight="1">
      <c r="A6" s="1990"/>
      <c r="B6" s="698" t="s">
        <v>1864</v>
      </c>
      <c r="C6" s="687"/>
      <c r="D6" s="696"/>
      <c r="E6" s="764"/>
    </row>
    <row r="7" spans="1:5" ht="11.25" customHeight="1">
      <c r="A7" s="1991"/>
      <c r="B7" s="698" t="s">
        <v>1871</v>
      </c>
      <c r="C7" s="687"/>
      <c r="D7" s="696"/>
      <c r="E7" s="764"/>
    </row>
    <row r="8" spans="1:5" ht="11.25" customHeight="1">
      <c r="A8" s="689"/>
      <c r="B8" s="698" t="s">
        <v>1867</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08"/>
  <sheetViews>
    <sheetView showGridLines="0" workbookViewId="0"/>
  </sheetViews>
  <sheetFormatPr defaultColWidth="9.140625" defaultRowHeight="11.25" customHeight="1"/>
  <cols>
    <col min="1" max="2" width="9.140625" style="1745"/>
    <col min="3" max="3" width="20.7109375" style="1745" customWidth="1"/>
    <col min="4" max="4" width="25.140625" style="1745" customWidth="1"/>
    <col min="5" max="9" width="9.140625" style="1745"/>
  </cols>
  <sheetData>
    <row r="1" spans="1:9" ht="11.25" customHeight="1">
      <c r="A1" s="7" t="s">
        <v>2435</v>
      </c>
      <c r="B1" s="7" t="s">
        <v>2436</v>
      </c>
      <c r="C1" s="7" t="s">
        <v>2437</v>
      </c>
      <c r="D1" s="7" t="s">
        <v>2438</v>
      </c>
      <c r="E1" s="7" t="s">
        <v>2439</v>
      </c>
      <c r="F1" s="7" t="s">
        <v>2440</v>
      </c>
      <c r="G1" s="7" t="s">
        <v>2441</v>
      </c>
      <c r="H1" s="7" t="s">
        <v>2442</v>
      </c>
      <c r="I1" s="7" t="s">
        <v>2443</v>
      </c>
    </row>
    <row r="2" spans="1:9" ht="11.25" customHeight="1">
      <c r="A2" s="1745" t="s">
        <v>2444</v>
      </c>
      <c r="B2" s="1745" t="s">
        <v>3</v>
      </c>
      <c r="C2" s="1745" t="s">
        <v>2445</v>
      </c>
      <c r="D2" s="1745" t="s">
        <v>2446</v>
      </c>
      <c r="E2" s="1745" t="s">
        <v>2447</v>
      </c>
      <c r="F2" s="1745" t="s">
        <v>2448</v>
      </c>
      <c r="G2" s="1745" t="s">
        <v>15</v>
      </c>
      <c r="H2" s="1745" t="s">
        <v>15</v>
      </c>
      <c r="I2" s="1745" t="s">
        <v>1016</v>
      </c>
    </row>
    <row r="3" spans="1:9" ht="11.25" customHeight="1">
      <c r="A3" s="1745" t="s">
        <v>2444</v>
      </c>
      <c r="B3" s="1745" t="s">
        <v>3</v>
      </c>
      <c r="C3" s="1745" t="s">
        <v>2449</v>
      </c>
      <c r="D3" s="1745" t="s">
        <v>2446</v>
      </c>
      <c r="E3" s="1745" t="s">
        <v>2447</v>
      </c>
      <c r="F3" s="1745" t="s">
        <v>2450</v>
      </c>
      <c r="G3" s="1745" t="s">
        <v>15</v>
      </c>
      <c r="H3" s="1745" t="s">
        <v>15</v>
      </c>
      <c r="I3" s="1745" t="s">
        <v>1016</v>
      </c>
    </row>
    <row r="4" spans="1:9" ht="11.25" customHeight="1">
      <c r="A4" s="1745" t="s">
        <v>2444</v>
      </c>
      <c r="B4" s="1745" t="s">
        <v>3</v>
      </c>
      <c r="C4" s="1745" t="s">
        <v>2451</v>
      </c>
      <c r="D4" s="1745" t="s">
        <v>2452</v>
      </c>
      <c r="E4" s="1745" t="s">
        <v>2453</v>
      </c>
      <c r="F4" s="1745" t="s">
        <v>2454</v>
      </c>
      <c r="G4" s="1745" t="s">
        <v>15</v>
      </c>
      <c r="H4" s="1745" t="s">
        <v>15</v>
      </c>
      <c r="I4" s="1745" t="s">
        <v>1016</v>
      </c>
    </row>
    <row r="5" spans="1:9" ht="11.25" customHeight="1">
      <c r="A5" s="1745" t="s">
        <v>2444</v>
      </c>
      <c r="B5" s="1745" t="s">
        <v>3</v>
      </c>
      <c r="C5" s="1745" t="s">
        <v>2455</v>
      </c>
      <c r="D5" s="1745" t="s">
        <v>2456</v>
      </c>
      <c r="E5" s="1745" t="s">
        <v>2457</v>
      </c>
      <c r="F5" s="1745" t="s">
        <v>2458</v>
      </c>
      <c r="G5" s="1745" t="s">
        <v>15</v>
      </c>
      <c r="H5" s="1745" t="s">
        <v>15</v>
      </c>
      <c r="I5" s="1745" t="s">
        <v>1016</v>
      </c>
    </row>
    <row r="6" spans="1:9" ht="11.25" customHeight="1">
      <c r="A6" s="1745" t="s">
        <v>2444</v>
      </c>
      <c r="B6" s="1745" t="s">
        <v>3</v>
      </c>
      <c r="C6" s="1745" t="s">
        <v>2459</v>
      </c>
      <c r="D6" s="1745" t="s">
        <v>2460</v>
      </c>
      <c r="E6" s="1745" t="s">
        <v>2461</v>
      </c>
      <c r="F6" s="1745" t="s">
        <v>2462</v>
      </c>
      <c r="G6" s="1745" t="s">
        <v>15</v>
      </c>
      <c r="H6" s="1745" t="s">
        <v>15</v>
      </c>
      <c r="I6" s="1745" t="s">
        <v>1016</v>
      </c>
    </row>
    <row r="7" spans="1:9" ht="11.25" customHeight="1">
      <c r="A7" s="1745" t="s">
        <v>2444</v>
      </c>
      <c r="B7" s="1745" t="s">
        <v>3</v>
      </c>
      <c r="C7" s="1745" t="s">
        <v>2463</v>
      </c>
      <c r="D7" s="1745" t="s">
        <v>2464</v>
      </c>
      <c r="E7" s="1745" t="s">
        <v>2465</v>
      </c>
      <c r="F7" s="1745" t="s">
        <v>2466</v>
      </c>
      <c r="G7" s="1745" t="s">
        <v>15</v>
      </c>
      <c r="H7" s="1745" t="s">
        <v>15</v>
      </c>
      <c r="I7" s="1745" t="s">
        <v>1016</v>
      </c>
    </row>
    <row r="8" spans="1:9" ht="11.25" customHeight="1">
      <c r="A8" s="1745" t="s">
        <v>2444</v>
      </c>
      <c r="B8" s="1745" t="s">
        <v>3</v>
      </c>
      <c r="C8" s="1745" t="s">
        <v>2467</v>
      </c>
      <c r="D8" s="1745" t="s">
        <v>2468</v>
      </c>
      <c r="E8" s="1745" t="s">
        <v>2469</v>
      </c>
      <c r="F8" s="1745" t="s">
        <v>38</v>
      </c>
      <c r="G8" s="1745" t="s">
        <v>15</v>
      </c>
      <c r="H8" s="1745" t="s">
        <v>15</v>
      </c>
      <c r="I8" s="1745" t="s">
        <v>1016</v>
      </c>
    </row>
    <row r="9" spans="1:9" ht="11.25" customHeight="1">
      <c r="A9" s="1745" t="s">
        <v>2444</v>
      </c>
      <c r="B9" s="1745" t="s">
        <v>3</v>
      </c>
      <c r="C9" s="1745" t="s">
        <v>2470</v>
      </c>
      <c r="D9" s="1745" t="s">
        <v>2471</v>
      </c>
      <c r="E9" s="1745" t="s">
        <v>2472</v>
      </c>
      <c r="F9" s="1745" t="s">
        <v>2450</v>
      </c>
      <c r="G9" s="1745" t="s">
        <v>15</v>
      </c>
      <c r="H9" s="1745" t="s">
        <v>15</v>
      </c>
      <c r="I9" s="1745" t="s">
        <v>1016</v>
      </c>
    </row>
    <row r="10" spans="1:9" ht="11.25" customHeight="1">
      <c r="A10" s="1745" t="s">
        <v>2444</v>
      </c>
      <c r="B10" s="1745" t="s">
        <v>3</v>
      </c>
      <c r="C10" s="1745" t="s">
        <v>2473</v>
      </c>
      <c r="D10" s="1745" t="s">
        <v>2474</v>
      </c>
      <c r="E10" s="1745" t="s">
        <v>2475</v>
      </c>
      <c r="F10" s="1745" t="s">
        <v>2476</v>
      </c>
      <c r="G10" s="1745" t="s">
        <v>15</v>
      </c>
      <c r="H10" s="1745" t="s">
        <v>15</v>
      </c>
      <c r="I10" s="1745" t="s">
        <v>1016</v>
      </c>
    </row>
    <row r="11" spans="1:9" ht="11.25" customHeight="1">
      <c r="A11" s="1745" t="s">
        <v>2444</v>
      </c>
      <c r="B11" s="1745" t="s">
        <v>3</v>
      </c>
      <c r="C11" s="1745" t="s">
        <v>2477</v>
      </c>
      <c r="D11" s="1745" t="s">
        <v>2478</v>
      </c>
      <c r="E11" s="1745" t="s">
        <v>2479</v>
      </c>
      <c r="F11" s="1745" t="s">
        <v>2480</v>
      </c>
      <c r="G11" s="1745" t="s">
        <v>15</v>
      </c>
      <c r="H11" s="1745" t="s">
        <v>15</v>
      </c>
      <c r="I11" s="1745" t="s">
        <v>1016</v>
      </c>
    </row>
    <row r="12" spans="1:9" ht="11.25" customHeight="1">
      <c r="A12" s="1745" t="s">
        <v>2444</v>
      </c>
      <c r="B12" s="1745" t="s">
        <v>3</v>
      </c>
      <c r="C12" s="1745" t="s">
        <v>2481</v>
      </c>
      <c r="D12" s="1745" t="s">
        <v>2482</v>
      </c>
      <c r="E12" s="1745" t="s">
        <v>2483</v>
      </c>
      <c r="F12" s="1745" t="s">
        <v>2484</v>
      </c>
      <c r="G12" s="1745" t="s">
        <v>15</v>
      </c>
      <c r="H12" s="1745" t="s">
        <v>15</v>
      </c>
      <c r="I12" s="1745" t="s">
        <v>1016</v>
      </c>
    </row>
    <row r="13" spans="1:9" ht="11.25" customHeight="1">
      <c r="A13" s="1745" t="s">
        <v>2444</v>
      </c>
      <c r="B13" s="1745" t="s">
        <v>3</v>
      </c>
      <c r="C13" s="1745" t="s">
        <v>2485</v>
      </c>
      <c r="D13" s="1745" t="s">
        <v>2486</v>
      </c>
      <c r="E13" s="1745" t="s">
        <v>2487</v>
      </c>
      <c r="F13" s="1745" t="s">
        <v>2458</v>
      </c>
      <c r="G13" s="1745" t="s">
        <v>15</v>
      </c>
      <c r="H13" s="1745" t="s">
        <v>15</v>
      </c>
      <c r="I13" s="1745" t="s">
        <v>1016</v>
      </c>
    </row>
    <row r="14" spans="1:9" ht="11.25" customHeight="1">
      <c r="A14" s="1745" t="s">
        <v>2444</v>
      </c>
      <c r="B14" s="1745" t="s">
        <v>3</v>
      </c>
      <c r="C14" s="1745" t="s">
        <v>2488</v>
      </c>
      <c r="D14" s="1745" t="s">
        <v>2489</v>
      </c>
      <c r="E14" s="1745" t="s">
        <v>2490</v>
      </c>
      <c r="F14" s="1745" t="s">
        <v>2491</v>
      </c>
      <c r="G14" s="1745" t="s">
        <v>2492</v>
      </c>
      <c r="H14" s="1745" t="s">
        <v>15</v>
      </c>
      <c r="I14" s="1745" t="s">
        <v>1016</v>
      </c>
    </row>
    <row r="15" spans="1:9" ht="11.25" customHeight="1">
      <c r="A15" s="1745" t="s">
        <v>2444</v>
      </c>
      <c r="B15" s="1745" t="s">
        <v>3</v>
      </c>
      <c r="C15" s="1745" t="s">
        <v>2493</v>
      </c>
      <c r="D15" s="1745" t="s">
        <v>2494</v>
      </c>
      <c r="E15" s="1745" t="s">
        <v>2495</v>
      </c>
      <c r="F15" s="1745" t="s">
        <v>2496</v>
      </c>
      <c r="G15" s="1745" t="s">
        <v>15</v>
      </c>
      <c r="H15" s="1745" t="s">
        <v>15</v>
      </c>
      <c r="I15" s="1745" t="s">
        <v>1016</v>
      </c>
    </row>
    <row r="16" spans="1:9" ht="11.25" customHeight="1">
      <c r="A16" s="1745" t="s">
        <v>2444</v>
      </c>
      <c r="B16" s="1745" t="s">
        <v>3</v>
      </c>
      <c r="C16" s="1745" t="s">
        <v>2497</v>
      </c>
      <c r="D16" s="1745" t="s">
        <v>2498</v>
      </c>
      <c r="E16" s="1745" t="s">
        <v>2499</v>
      </c>
      <c r="F16" s="1745" t="s">
        <v>2500</v>
      </c>
      <c r="G16" s="1745" t="s">
        <v>15</v>
      </c>
      <c r="H16" s="1745" t="s">
        <v>15</v>
      </c>
      <c r="I16" s="1745" t="s">
        <v>1016</v>
      </c>
    </row>
    <row r="17" spans="1:9" ht="11.25" customHeight="1">
      <c r="A17" s="1745" t="s">
        <v>2444</v>
      </c>
      <c r="B17" s="1745" t="s">
        <v>3</v>
      </c>
      <c r="C17" s="1745" t="s">
        <v>2501</v>
      </c>
      <c r="D17" s="1745" t="s">
        <v>2502</v>
      </c>
      <c r="E17" s="1745" t="s">
        <v>2503</v>
      </c>
      <c r="F17" s="1745" t="s">
        <v>2504</v>
      </c>
      <c r="G17" s="1745" t="s">
        <v>15</v>
      </c>
      <c r="H17" s="1745" t="s">
        <v>15</v>
      </c>
      <c r="I17" s="1745" t="s">
        <v>1016</v>
      </c>
    </row>
    <row r="18" spans="1:9" ht="11.25" customHeight="1">
      <c r="A18" s="1745" t="s">
        <v>2444</v>
      </c>
      <c r="B18" s="1745" t="s">
        <v>3</v>
      </c>
      <c r="C18" s="1745" t="s">
        <v>2505</v>
      </c>
      <c r="D18" s="1745" t="s">
        <v>2506</v>
      </c>
      <c r="E18" s="1745" t="s">
        <v>2507</v>
      </c>
      <c r="F18" s="1745" t="s">
        <v>2508</v>
      </c>
      <c r="G18" s="1745" t="s">
        <v>15</v>
      </c>
      <c r="H18" s="1745" t="s">
        <v>15</v>
      </c>
      <c r="I18" s="1745" t="s">
        <v>1016</v>
      </c>
    </row>
    <row r="19" spans="1:9" ht="11.25" customHeight="1">
      <c r="A19" s="1745" t="s">
        <v>2444</v>
      </c>
      <c r="B19" s="1745" t="s">
        <v>3</v>
      </c>
      <c r="C19" s="1745" t="s">
        <v>2509</v>
      </c>
      <c r="D19" s="1745" t="s">
        <v>2510</v>
      </c>
      <c r="E19" s="1745" t="s">
        <v>2511</v>
      </c>
      <c r="F19" s="1745" t="s">
        <v>38</v>
      </c>
      <c r="G19" s="1745" t="s">
        <v>15</v>
      </c>
      <c r="H19" s="1745" t="s">
        <v>15</v>
      </c>
      <c r="I19" s="1745" t="s">
        <v>1016</v>
      </c>
    </row>
    <row r="20" spans="1:9" ht="11.25" customHeight="1">
      <c r="A20" s="1745" t="s">
        <v>2444</v>
      </c>
      <c r="B20" s="1745" t="s">
        <v>3</v>
      </c>
      <c r="C20" s="1745" t="s">
        <v>2512</v>
      </c>
      <c r="D20" s="1745" t="s">
        <v>2513</v>
      </c>
      <c r="E20" s="1745" t="s">
        <v>2514</v>
      </c>
      <c r="F20" s="1745" t="s">
        <v>38</v>
      </c>
      <c r="G20" s="1745" t="s">
        <v>15</v>
      </c>
      <c r="H20" s="1745" t="s">
        <v>15</v>
      </c>
      <c r="I20" s="1745" t="s">
        <v>1016</v>
      </c>
    </row>
    <row r="21" spans="1:9" ht="11.25" customHeight="1">
      <c r="A21" s="1745" t="s">
        <v>2444</v>
      </c>
      <c r="B21" s="1745" t="s">
        <v>3</v>
      </c>
      <c r="C21" s="1745" t="s">
        <v>2515</v>
      </c>
      <c r="D21" s="1745" t="s">
        <v>2516</v>
      </c>
      <c r="E21" s="1745" t="s">
        <v>2517</v>
      </c>
      <c r="F21" s="1745" t="s">
        <v>784</v>
      </c>
      <c r="G21" s="1745" t="s">
        <v>15</v>
      </c>
      <c r="H21" s="1745" t="s">
        <v>15</v>
      </c>
      <c r="I21" s="1745" t="s">
        <v>1016</v>
      </c>
    </row>
    <row r="22" spans="1:9" ht="11.25" customHeight="1">
      <c r="A22" s="1745" t="s">
        <v>2444</v>
      </c>
      <c r="B22" s="1745" t="s">
        <v>3</v>
      </c>
      <c r="C22" s="1745" t="s">
        <v>2518</v>
      </c>
      <c r="D22" s="1745" t="s">
        <v>2519</v>
      </c>
      <c r="E22" s="1745" t="s">
        <v>2520</v>
      </c>
      <c r="F22" s="1745" t="s">
        <v>784</v>
      </c>
      <c r="G22" s="1745" t="s">
        <v>15</v>
      </c>
      <c r="H22" s="1745" t="s">
        <v>15</v>
      </c>
      <c r="I22" s="1745" t="s">
        <v>1016</v>
      </c>
    </row>
    <row r="23" spans="1:9" ht="11.25" customHeight="1">
      <c r="A23" s="1745" t="s">
        <v>2444</v>
      </c>
      <c r="B23" s="1745" t="s">
        <v>3</v>
      </c>
      <c r="C23" s="1745" t="s">
        <v>2521</v>
      </c>
      <c r="D23" s="1745" t="s">
        <v>2522</v>
      </c>
      <c r="E23" s="1745" t="s">
        <v>2523</v>
      </c>
      <c r="F23" s="1745" t="s">
        <v>784</v>
      </c>
      <c r="G23" s="1745" t="s">
        <v>15</v>
      </c>
      <c r="H23" s="1745" t="s">
        <v>15</v>
      </c>
      <c r="I23" s="1745" t="s">
        <v>1016</v>
      </c>
    </row>
    <row r="24" spans="1:9" ht="11.25" customHeight="1">
      <c r="A24" s="1745" t="s">
        <v>2444</v>
      </c>
      <c r="B24" s="1745" t="s">
        <v>3</v>
      </c>
      <c r="C24" s="1745" t="s">
        <v>2524</v>
      </c>
      <c r="D24" s="1745" t="s">
        <v>2525</v>
      </c>
      <c r="E24" s="1745" t="s">
        <v>2526</v>
      </c>
      <c r="F24" s="1745" t="s">
        <v>784</v>
      </c>
      <c r="G24" s="1745" t="s">
        <v>15</v>
      </c>
      <c r="H24" s="1745" t="s">
        <v>15</v>
      </c>
      <c r="I24" s="1745" t="s">
        <v>1016</v>
      </c>
    </row>
    <row r="25" spans="1:9" ht="11.25" customHeight="1">
      <c r="A25" s="1745" t="s">
        <v>2444</v>
      </c>
      <c r="B25" s="1745" t="s">
        <v>3</v>
      </c>
      <c r="C25" s="1745" t="s">
        <v>2527</v>
      </c>
      <c r="D25" s="1745" t="s">
        <v>2528</v>
      </c>
      <c r="E25" s="1745" t="s">
        <v>2529</v>
      </c>
      <c r="F25" s="1745" t="s">
        <v>784</v>
      </c>
      <c r="G25" s="1745" t="s">
        <v>15</v>
      </c>
      <c r="H25" s="1745" t="s">
        <v>15</v>
      </c>
      <c r="I25" s="1745" t="s">
        <v>1016</v>
      </c>
    </row>
    <row r="26" spans="1:9" ht="11.25" customHeight="1">
      <c r="A26" s="1745" t="s">
        <v>2444</v>
      </c>
      <c r="B26" s="1745" t="s">
        <v>3</v>
      </c>
      <c r="C26" s="1745" t="s">
        <v>2530</v>
      </c>
      <c r="D26" s="1745" t="s">
        <v>2531</v>
      </c>
      <c r="E26" s="1745" t="s">
        <v>2532</v>
      </c>
      <c r="F26" s="1745" t="s">
        <v>2533</v>
      </c>
      <c r="G26" s="1745" t="s">
        <v>15</v>
      </c>
      <c r="H26" s="1745" t="s">
        <v>15</v>
      </c>
      <c r="I26" s="1745" t="s">
        <v>1016</v>
      </c>
    </row>
    <row r="27" spans="1:9" ht="11.25" customHeight="1">
      <c r="A27" s="1745" t="s">
        <v>2444</v>
      </c>
      <c r="B27" s="1745" t="s">
        <v>3</v>
      </c>
      <c r="C27" s="1745" t="s">
        <v>2534</v>
      </c>
      <c r="D27" s="1745" t="s">
        <v>2535</v>
      </c>
      <c r="E27" s="1745" t="s">
        <v>2536</v>
      </c>
      <c r="F27" s="1745" t="s">
        <v>2533</v>
      </c>
      <c r="G27" s="1745" t="s">
        <v>15</v>
      </c>
      <c r="H27" s="1745" t="s">
        <v>15</v>
      </c>
      <c r="I27" s="1745" t="s">
        <v>1016</v>
      </c>
    </row>
    <row r="28" spans="1:9" ht="11.25" customHeight="1">
      <c r="A28" s="1745" t="s">
        <v>2444</v>
      </c>
      <c r="B28" s="1745" t="s">
        <v>3</v>
      </c>
      <c r="C28" s="1745" t="s">
        <v>2537</v>
      </c>
      <c r="D28" s="1745" t="s">
        <v>2538</v>
      </c>
      <c r="E28" s="1745" t="s">
        <v>2539</v>
      </c>
      <c r="F28" s="1745" t="s">
        <v>2540</v>
      </c>
      <c r="G28" s="1745" t="s">
        <v>15</v>
      </c>
      <c r="H28" s="1745" t="s">
        <v>15</v>
      </c>
      <c r="I28" s="1745" t="s">
        <v>1016</v>
      </c>
    </row>
    <row r="29" spans="1:9" ht="11.25" customHeight="1">
      <c r="A29" s="1745" t="s">
        <v>2444</v>
      </c>
      <c r="B29" s="1745" t="s">
        <v>3</v>
      </c>
      <c r="C29" s="1745" t="s">
        <v>2541</v>
      </c>
      <c r="D29" s="1745" t="s">
        <v>2542</v>
      </c>
      <c r="E29" s="1745" t="s">
        <v>2543</v>
      </c>
      <c r="F29" s="1745" t="s">
        <v>2544</v>
      </c>
      <c r="G29" s="1745" t="s">
        <v>2545</v>
      </c>
      <c r="H29" s="1745" t="s">
        <v>15</v>
      </c>
      <c r="I29" s="1745" t="s">
        <v>1016</v>
      </c>
    </row>
    <row r="30" spans="1:9" ht="11.25" customHeight="1">
      <c r="A30" s="1745" t="s">
        <v>2444</v>
      </c>
      <c r="B30" s="1745" t="s">
        <v>3</v>
      </c>
      <c r="C30" s="1745" t="s">
        <v>15</v>
      </c>
      <c r="D30" s="1745" t="s">
        <v>2546</v>
      </c>
      <c r="E30" s="1745" t="s">
        <v>2547</v>
      </c>
      <c r="F30" s="1745" t="s">
        <v>2491</v>
      </c>
      <c r="G30" s="1745" t="s">
        <v>15</v>
      </c>
      <c r="H30" s="1745" t="s">
        <v>15</v>
      </c>
      <c r="I30" s="1745" t="s">
        <v>1016</v>
      </c>
    </row>
    <row r="31" spans="1:9" ht="11.25" customHeight="1">
      <c r="A31" s="1745" t="s">
        <v>2444</v>
      </c>
      <c r="B31" s="1745" t="s">
        <v>3</v>
      </c>
      <c r="C31" s="1745" t="s">
        <v>2548</v>
      </c>
      <c r="D31" s="1745" t="s">
        <v>2549</v>
      </c>
      <c r="E31" s="1745" t="s">
        <v>2550</v>
      </c>
      <c r="F31" s="1745" t="s">
        <v>2551</v>
      </c>
      <c r="G31" s="1745" t="s">
        <v>15</v>
      </c>
      <c r="H31" s="1745" t="s">
        <v>15</v>
      </c>
      <c r="I31" s="1745" t="s">
        <v>1016</v>
      </c>
    </row>
    <row r="32" spans="1:9" ht="11.25" customHeight="1">
      <c r="A32" s="1745" t="s">
        <v>2444</v>
      </c>
      <c r="B32" s="1745" t="s">
        <v>3</v>
      </c>
      <c r="C32" s="1745" t="s">
        <v>2552</v>
      </c>
      <c r="D32" s="1745" t="s">
        <v>2553</v>
      </c>
      <c r="E32" s="1745" t="s">
        <v>2554</v>
      </c>
      <c r="F32" s="1745" t="s">
        <v>2555</v>
      </c>
      <c r="G32" s="1745" t="s">
        <v>15</v>
      </c>
      <c r="H32" s="1745" t="s">
        <v>15</v>
      </c>
      <c r="I32" s="1745" t="s">
        <v>1016</v>
      </c>
    </row>
    <row r="33" spans="1:9" ht="11.25" customHeight="1">
      <c r="A33" s="1745" t="s">
        <v>2444</v>
      </c>
      <c r="B33" s="1745" t="s">
        <v>3</v>
      </c>
      <c r="C33" s="1745" t="s">
        <v>2556</v>
      </c>
      <c r="D33" s="1745" t="s">
        <v>2557</v>
      </c>
      <c r="E33" s="1745" t="s">
        <v>2558</v>
      </c>
      <c r="F33" s="1745" t="s">
        <v>2476</v>
      </c>
      <c r="G33" s="1745" t="s">
        <v>15</v>
      </c>
      <c r="H33" s="1745" t="s">
        <v>15</v>
      </c>
      <c r="I33" s="1745" t="s">
        <v>1016</v>
      </c>
    </row>
    <row r="34" spans="1:9" ht="11.25" customHeight="1">
      <c r="A34" s="1745" t="s">
        <v>2444</v>
      </c>
      <c r="B34" s="1745" t="s">
        <v>3</v>
      </c>
      <c r="C34" s="1745" t="s">
        <v>2559</v>
      </c>
      <c r="D34" s="1745" t="s">
        <v>2560</v>
      </c>
      <c r="E34" s="1745" t="s">
        <v>2561</v>
      </c>
      <c r="F34" s="1745" t="s">
        <v>2562</v>
      </c>
      <c r="G34" s="1745" t="s">
        <v>15</v>
      </c>
      <c r="H34" s="1745" t="s">
        <v>15</v>
      </c>
      <c r="I34" s="1745" t="s">
        <v>1016</v>
      </c>
    </row>
    <row r="35" spans="1:9" ht="11.25" customHeight="1">
      <c r="A35" s="1745" t="s">
        <v>2444</v>
      </c>
      <c r="B35" s="1745" t="s">
        <v>3</v>
      </c>
      <c r="C35" s="1745" t="s">
        <v>2563</v>
      </c>
      <c r="D35" s="1745" t="s">
        <v>2564</v>
      </c>
      <c r="E35" s="1745" t="s">
        <v>2565</v>
      </c>
      <c r="F35" s="1745" t="s">
        <v>2566</v>
      </c>
      <c r="G35" s="1745" t="s">
        <v>15</v>
      </c>
      <c r="H35" s="1745" t="s">
        <v>15</v>
      </c>
      <c r="I35" s="1745" t="s">
        <v>1016</v>
      </c>
    </row>
    <row r="36" spans="1:9" ht="11.25" customHeight="1">
      <c r="A36" s="1745" t="s">
        <v>2444</v>
      </c>
      <c r="B36" s="1745" t="s">
        <v>3</v>
      </c>
      <c r="C36" s="1745" t="s">
        <v>2567</v>
      </c>
      <c r="D36" s="1745" t="s">
        <v>2568</v>
      </c>
      <c r="E36" s="1745" t="s">
        <v>2569</v>
      </c>
      <c r="F36" s="1745" t="s">
        <v>2570</v>
      </c>
      <c r="G36" s="1745" t="s">
        <v>15</v>
      </c>
      <c r="H36" s="1745" t="s">
        <v>15</v>
      </c>
      <c r="I36" s="1745" t="s">
        <v>1016</v>
      </c>
    </row>
    <row r="37" spans="1:9" ht="11.25" customHeight="1">
      <c r="A37" s="1745" t="s">
        <v>2444</v>
      </c>
      <c r="B37" s="1745" t="s">
        <v>3</v>
      </c>
      <c r="C37" s="1745" t="s">
        <v>2571</v>
      </c>
      <c r="D37" s="1745" t="s">
        <v>2572</v>
      </c>
      <c r="E37" s="1745" t="s">
        <v>2573</v>
      </c>
      <c r="F37" s="1745" t="s">
        <v>2566</v>
      </c>
      <c r="G37" s="1745" t="s">
        <v>15</v>
      </c>
      <c r="H37" s="1745" t="s">
        <v>15</v>
      </c>
      <c r="I37" s="1745" t="s">
        <v>1016</v>
      </c>
    </row>
    <row r="38" spans="1:9" ht="11.25" customHeight="1">
      <c r="A38" s="1745" t="s">
        <v>2444</v>
      </c>
      <c r="B38" s="1745" t="s">
        <v>3</v>
      </c>
      <c r="C38" s="1745" t="s">
        <v>2574</v>
      </c>
      <c r="D38" s="1745" t="s">
        <v>2575</v>
      </c>
      <c r="E38" s="1745" t="s">
        <v>2576</v>
      </c>
      <c r="F38" s="1745" t="s">
        <v>2466</v>
      </c>
      <c r="G38" s="1745" t="s">
        <v>15</v>
      </c>
      <c r="H38" s="1745" t="s">
        <v>15</v>
      </c>
      <c r="I38" s="1745" t="s">
        <v>1016</v>
      </c>
    </row>
    <row r="39" spans="1:9" ht="11.25" customHeight="1">
      <c r="A39" s="1745" t="s">
        <v>2444</v>
      </c>
      <c r="B39" s="1745" t="s">
        <v>3</v>
      </c>
      <c r="C39" s="1745" t="s">
        <v>2577</v>
      </c>
      <c r="D39" s="1745" t="s">
        <v>2578</v>
      </c>
      <c r="E39" s="1745" t="s">
        <v>2579</v>
      </c>
      <c r="F39" s="1745" t="s">
        <v>2580</v>
      </c>
      <c r="G39" s="1745" t="s">
        <v>2581</v>
      </c>
      <c r="H39" s="1745" t="s">
        <v>15</v>
      </c>
      <c r="I39" s="1745" t="s">
        <v>1016</v>
      </c>
    </row>
    <row r="40" spans="1:9" ht="11.25" customHeight="1">
      <c r="A40" s="1745" t="s">
        <v>2444</v>
      </c>
      <c r="B40" s="1745" t="s">
        <v>3</v>
      </c>
      <c r="C40" s="1745" t="s">
        <v>2582</v>
      </c>
      <c r="D40" s="1745" t="s">
        <v>2583</v>
      </c>
      <c r="E40" s="1745" t="s">
        <v>2584</v>
      </c>
      <c r="F40" s="1745" t="s">
        <v>2500</v>
      </c>
      <c r="G40" s="1745" t="s">
        <v>15</v>
      </c>
      <c r="H40" s="1745" t="s">
        <v>15</v>
      </c>
      <c r="I40" s="1745" t="s">
        <v>1016</v>
      </c>
    </row>
    <row r="41" spans="1:9" ht="11.25" customHeight="1">
      <c r="A41" s="1745" t="s">
        <v>2444</v>
      </c>
      <c r="B41" s="1745" t="s">
        <v>3</v>
      </c>
      <c r="C41" s="1745" t="s">
        <v>2585</v>
      </c>
      <c r="D41" s="1745" t="s">
        <v>2583</v>
      </c>
      <c r="E41" s="1745" t="s">
        <v>2586</v>
      </c>
      <c r="F41" s="1745" t="s">
        <v>2500</v>
      </c>
      <c r="G41" s="1745" t="s">
        <v>15</v>
      </c>
      <c r="H41" s="1745" t="s">
        <v>15</v>
      </c>
      <c r="I41" s="1745" t="s">
        <v>1016</v>
      </c>
    </row>
    <row r="42" spans="1:9" ht="11.25" customHeight="1">
      <c r="A42" s="1745" t="s">
        <v>2444</v>
      </c>
      <c r="B42" s="1745" t="s">
        <v>3</v>
      </c>
      <c r="C42" s="1745" t="s">
        <v>2587</v>
      </c>
      <c r="D42" s="1745" t="s">
        <v>2588</v>
      </c>
      <c r="E42" s="1745" t="s">
        <v>2589</v>
      </c>
      <c r="F42" s="1745" t="s">
        <v>2590</v>
      </c>
      <c r="G42" s="1745" t="s">
        <v>15</v>
      </c>
      <c r="H42" s="1745" t="s">
        <v>15</v>
      </c>
      <c r="I42" s="1745" t="s">
        <v>1016</v>
      </c>
    </row>
    <row r="43" spans="1:9" ht="11.25" customHeight="1">
      <c r="A43" s="1745" t="s">
        <v>2444</v>
      </c>
      <c r="B43" s="1745" t="s">
        <v>3</v>
      </c>
      <c r="C43" s="1745" t="s">
        <v>2591</v>
      </c>
      <c r="D43" s="1745" t="s">
        <v>2588</v>
      </c>
      <c r="E43" s="1745" t="s">
        <v>2592</v>
      </c>
      <c r="F43" s="1745" t="s">
        <v>2593</v>
      </c>
      <c r="G43" s="1745" t="s">
        <v>15</v>
      </c>
      <c r="H43" s="1745" t="s">
        <v>15</v>
      </c>
      <c r="I43" s="1745" t="s">
        <v>1016</v>
      </c>
    </row>
    <row r="44" spans="1:9" ht="11.25" customHeight="1">
      <c r="A44" s="1745" t="s">
        <v>2444</v>
      </c>
      <c r="B44" s="1745" t="s">
        <v>3</v>
      </c>
      <c r="C44" s="1745" t="s">
        <v>2594</v>
      </c>
      <c r="D44" s="1745" t="s">
        <v>2588</v>
      </c>
      <c r="E44" s="1745" t="s">
        <v>2595</v>
      </c>
      <c r="F44" s="1745" t="s">
        <v>2596</v>
      </c>
      <c r="G44" s="1745" t="s">
        <v>15</v>
      </c>
      <c r="H44" s="1745" t="s">
        <v>15</v>
      </c>
      <c r="I44" s="1745" t="s">
        <v>1016</v>
      </c>
    </row>
    <row r="45" spans="1:9" ht="11.25" customHeight="1">
      <c r="A45" s="1745" t="s">
        <v>2444</v>
      </c>
      <c r="B45" s="1745" t="s">
        <v>3</v>
      </c>
      <c r="C45" s="1745" t="s">
        <v>2597</v>
      </c>
      <c r="D45" s="1745" t="s">
        <v>2588</v>
      </c>
      <c r="E45" s="1745" t="s">
        <v>2598</v>
      </c>
      <c r="F45" s="1745" t="s">
        <v>2570</v>
      </c>
      <c r="G45" s="1745" t="s">
        <v>15</v>
      </c>
      <c r="H45" s="1745" t="s">
        <v>15</v>
      </c>
      <c r="I45" s="1745" t="s">
        <v>1016</v>
      </c>
    </row>
    <row r="46" spans="1:9" ht="11.25" customHeight="1">
      <c r="A46" s="1745" t="s">
        <v>2444</v>
      </c>
      <c r="B46" s="1745" t="s">
        <v>3</v>
      </c>
      <c r="C46" s="1745" t="s">
        <v>2599</v>
      </c>
      <c r="D46" s="1745" t="s">
        <v>2600</v>
      </c>
      <c r="E46" s="1745" t="s">
        <v>2601</v>
      </c>
      <c r="F46" s="1745" t="s">
        <v>2500</v>
      </c>
      <c r="G46" s="1745" t="s">
        <v>15</v>
      </c>
      <c r="H46" s="1745" t="s">
        <v>15</v>
      </c>
      <c r="I46" s="1745" t="s">
        <v>1016</v>
      </c>
    </row>
    <row r="47" spans="1:9" ht="11.25" customHeight="1">
      <c r="A47" s="1745" t="s">
        <v>2444</v>
      </c>
      <c r="B47" s="1745" t="s">
        <v>3</v>
      </c>
      <c r="C47" s="1745" t="s">
        <v>2602</v>
      </c>
      <c r="D47" s="1745" t="s">
        <v>2603</v>
      </c>
      <c r="E47" s="1745" t="s">
        <v>2604</v>
      </c>
      <c r="F47" s="1745" t="s">
        <v>2466</v>
      </c>
      <c r="G47" s="1745" t="s">
        <v>15</v>
      </c>
      <c r="H47" s="1745" t="s">
        <v>15</v>
      </c>
      <c r="I47" s="1745" t="s">
        <v>1016</v>
      </c>
    </row>
    <row r="48" spans="1:9" ht="11.25" customHeight="1">
      <c r="A48" s="1745" t="s">
        <v>2444</v>
      </c>
      <c r="B48" s="1745" t="s">
        <v>3</v>
      </c>
      <c r="C48" s="1745" t="s">
        <v>2605</v>
      </c>
      <c r="D48" s="1745" t="s">
        <v>2606</v>
      </c>
      <c r="E48" s="1745" t="s">
        <v>2607</v>
      </c>
      <c r="F48" s="1745" t="s">
        <v>2476</v>
      </c>
      <c r="G48" s="1745" t="s">
        <v>15</v>
      </c>
      <c r="H48" s="1745" t="s">
        <v>15</v>
      </c>
      <c r="I48" s="1745" t="s">
        <v>1016</v>
      </c>
    </row>
    <row r="49" spans="1:9" ht="11.25" customHeight="1">
      <c r="A49" s="1745" t="s">
        <v>2444</v>
      </c>
      <c r="B49" s="1745" t="s">
        <v>3</v>
      </c>
      <c r="C49" s="1745" t="s">
        <v>2608</v>
      </c>
      <c r="D49" s="1745" t="s">
        <v>2609</v>
      </c>
      <c r="E49" s="1745" t="s">
        <v>2610</v>
      </c>
      <c r="F49" s="1745" t="s">
        <v>2466</v>
      </c>
      <c r="G49" s="1745" t="s">
        <v>2611</v>
      </c>
      <c r="H49" s="1745" t="s">
        <v>15</v>
      </c>
      <c r="I49" s="1745" t="s">
        <v>1016</v>
      </c>
    </row>
    <row r="50" spans="1:9" ht="11.25" customHeight="1">
      <c r="A50" s="1745" t="s">
        <v>2444</v>
      </c>
      <c r="B50" s="1745" t="s">
        <v>3</v>
      </c>
      <c r="C50" s="1745" t="s">
        <v>2612</v>
      </c>
      <c r="D50" s="1745" t="s">
        <v>2613</v>
      </c>
      <c r="E50" s="1745" t="s">
        <v>2614</v>
      </c>
      <c r="F50" s="1745" t="s">
        <v>2551</v>
      </c>
      <c r="G50" s="1745" t="s">
        <v>15</v>
      </c>
      <c r="H50" s="1745" t="s">
        <v>15</v>
      </c>
      <c r="I50" s="1745" t="s">
        <v>1016</v>
      </c>
    </row>
    <row r="51" spans="1:9" ht="11.25" customHeight="1">
      <c r="A51" s="1745" t="s">
        <v>2444</v>
      </c>
      <c r="B51" s="1745" t="s">
        <v>3</v>
      </c>
      <c r="C51" s="1745" t="s">
        <v>2615</v>
      </c>
      <c r="D51" s="1745" t="s">
        <v>2616</v>
      </c>
      <c r="E51" s="1745" t="s">
        <v>2617</v>
      </c>
      <c r="F51" s="1745" t="s">
        <v>2491</v>
      </c>
      <c r="G51" s="1745" t="s">
        <v>15</v>
      </c>
      <c r="H51" s="1745" t="s">
        <v>15</v>
      </c>
      <c r="I51" s="1745" t="s">
        <v>1016</v>
      </c>
    </row>
    <row r="52" spans="1:9" ht="11.25" customHeight="1">
      <c r="A52" s="1745" t="s">
        <v>2444</v>
      </c>
      <c r="B52" s="1745" t="s">
        <v>3</v>
      </c>
      <c r="C52" s="1745" t="s">
        <v>2618</v>
      </c>
      <c r="D52" s="1745" t="s">
        <v>2619</v>
      </c>
      <c r="E52" s="1745" t="s">
        <v>2620</v>
      </c>
      <c r="F52" s="1745" t="s">
        <v>2621</v>
      </c>
      <c r="G52" s="1745" t="s">
        <v>15</v>
      </c>
      <c r="H52" s="1745" t="s">
        <v>15</v>
      </c>
      <c r="I52" s="1745" t="s">
        <v>1016</v>
      </c>
    </row>
    <row r="53" spans="1:9" ht="11.25" customHeight="1">
      <c r="A53" s="1745" t="s">
        <v>2444</v>
      </c>
      <c r="B53" s="1745" t="s">
        <v>3</v>
      </c>
      <c r="C53" s="1745" t="s">
        <v>2622</v>
      </c>
      <c r="D53" s="1745" t="s">
        <v>2623</v>
      </c>
      <c r="E53" s="1745" t="s">
        <v>2624</v>
      </c>
      <c r="F53" s="1745" t="s">
        <v>2562</v>
      </c>
      <c r="G53" s="1745" t="s">
        <v>2625</v>
      </c>
      <c r="H53" s="1745" t="s">
        <v>15</v>
      </c>
      <c r="I53" s="1745" t="s">
        <v>1016</v>
      </c>
    </row>
    <row r="54" spans="1:9" ht="11.25" customHeight="1">
      <c r="A54" s="1745" t="s">
        <v>2444</v>
      </c>
      <c r="B54" s="1745" t="s">
        <v>3</v>
      </c>
      <c r="C54" s="1745" t="s">
        <v>2626</v>
      </c>
      <c r="D54" s="1745" t="s">
        <v>2627</v>
      </c>
      <c r="E54" s="1745" t="s">
        <v>2628</v>
      </c>
      <c r="F54" s="1745" t="s">
        <v>2466</v>
      </c>
      <c r="G54" s="1745" t="s">
        <v>15</v>
      </c>
      <c r="H54" s="1745" t="s">
        <v>15</v>
      </c>
      <c r="I54" s="1745" t="s">
        <v>1016</v>
      </c>
    </row>
    <row r="55" spans="1:9" ht="11.25" customHeight="1">
      <c r="A55" s="1745" t="s">
        <v>2444</v>
      </c>
      <c r="B55" s="1745" t="s">
        <v>3</v>
      </c>
      <c r="C55" s="1745" t="s">
        <v>2629</v>
      </c>
      <c r="D55" s="1745" t="s">
        <v>2630</v>
      </c>
      <c r="E55" s="1745" t="s">
        <v>2631</v>
      </c>
      <c r="F55" s="1745" t="s">
        <v>2632</v>
      </c>
      <c r="G55" s="1745" t="s">
        <v>2633</v>
      </c>
      <c r="H55" s="1745" t="s">
        <v>15</v>
      </c>
      <c r="I55" s="1745" t="s">
        <v>1016</v>
      </c>
    </row>
    <row r="56" spans="1:9" ht="11.25" customHeight="1">
      <c r="A56" s="1745" t="s">
        <v>2444</v>
      </c>
      <c r="B56" s="1745" t="s">
        <v>3</v>
      </c>
      <c r="C56" s="1745" t="s">
        <v>2634</v>
      </c>
      <c r="D56" s="1745" t="s">
        <v>2635</v>
      </c>
      <c r="E56" s="1745" t="s">
        <v>2636</v>
      </c>
      <c r="F56" s="1745" t="s">
        <v>2637</v>
      </c>
      <c r="G56" s="1745" t="s">
        <v>15</v>
      </c>
      <c r="H56" s="1745" t="s">
        <v>15</v>
      </c>
      <c r="I56" s="1745" t="s">
        <v>1016</v>
      </c>
    </row>
    <row r="57" spans="1:9" ht="11.25" customHeight="1">
      <c r="A57" s="1745" t="s">
        <v>2444</v>
      </c>
      <c r="B57" s="1745" t="s">
        <v>3</v>
      </c>
      <c r="C57" s="1745" t="s">
        <v>2638</v>
      </c>
      <c r="D57" s="1745" t="s">
        <v>2639</v>
      </c>
      <c r="E57" s="1745" t="s">
        <v>2640</v>
      </c>
      <c r="F57" s="1745" t="s">
        <v>2555</v>
      </c>
      <c r="G57" s="1745" t="s">
        <v>15</v>
      </c>
      <c r="H57" s="1745" t="s">
        <v>15</v>
      </c>
      <c r="I57" s="1745" t="s">
        <v>1016</v>
      </c>
    </row>
    <row r="58" spans="1:9" ht="11.25" customHeight="1">
      <c r="A58" s="1745" t="s">
        <v>2444</v>
      </c>
      <c r="B58" s="1745" t="s">
        <v>3</v>
      </c>
      <c r="C58" s="1745" t="s">
        <v>2641</v>
      </c>
      <c r="D58" s="1745" t="s">
        <v>2642</v>
      </c>
      <c r="E58" s="1745" t="s">
        <v>2643</v>
      </c>
      <c r="F58" s="1745" t="s">
        <v>2540</v>
      </c>
      <c r="G58" s="1745" t="s">
        <v>15</v>
      </c>
      <c r="H58" s="1745" t="s">
        <v>15</v>
      </c>
      <c r="I58" s="1745" t="s">
        <v>1016</v>
      </c>
    </row>
    <row r="59" spans="1:9" ht="11.25" customHeight="1">
      <c r="A59" s="1745" t="s">
        <v>2444</v>
      </c>
      <c r="B59" s="1745" t="s">
        <v>3</v>
      </c>
      <c r="C59" s="1745" t="s">
        <v>2644</v>
      </c>
      <c r="D59" s="1745" t="s">
        <v>2645</v>
      </c>
      <c r="E59" s="1745" t="s">
        <v>2646</v>
      </c>
      <c r="F59" s="1745" t="s">
        <v>2466</v>
      </c>
      <c r="G59" s="1745" t="s">
        <v>15</v>
      </c>
      <c r="H59" s="1745" t="s">
        <v>15</v>
      </c>
      <c r="I59" s="1745" t="s">
        <v>1016</v>
      </c>
    </row>
    <row r="60" spans="1:9" ht="11.25" customHeight="1">
      <c r="A60" s="1745" t="s">
        <v>2444</v>
      </c>
      <c r="B60" s="1745" t="s">
        <v>3</v>
      </c>
      <c r="C60" s="1745" t="s">
        <v>2647</v>
      </c>
      <c r="D60" s="1745" t="s">
        <v>2648</v>
      </c>
      <c r="E60" s="1745" t="s">
        <v>2649</v>
      </c>
      <c r="F60" s="1745" t="s">
        <v>2551</v>
      </c>
      <c r="G60" s="1745" t="s">
        <v>15</v>
      </c>
      <c r="H60" s="1745" t="s">
        <v>15</v>
      </c>
      <c r="I60" s="1745" t="s">
        <v>1016</v>
      </c>
    </row>
    <row r="61" spans="1:9" ht="11.25" customHeight="1">
      <c r="A61" s="1745" t="s">
        <v>2444</v>
      </c>
      <c r="B61" s="1745" t="s">
        <v>3</v>
      </c>
      <c r="C61" s="1745" t="s">
        <v>2650</v>
      </c>
      <c r="D61" s="1745" t="s">
        <v>2651</v>
      </c>
      <c r="E61" s="1745" t="s">
        <v>2652</v>
      </c>
      <c r="F61" s="1745" t="s">
        <v>2551</v>
      </c>
      <c r="G61" s="1745" t="s">
        <v>15</v>
      </c>
      <c r="H61" s="1745" t="s">
        <v>15</v>
      </c>
      <c r="I61" s="1745" t="s">
        <v>1016</v>
      </c>
    </row>
    <row r="62" spans="1:9" ht="11.25" customHeight="1">
      <c r="A62" s="1745" t="s">
        <v>2444</v>
      </c>
      <c r="B62" s="1745" t="s">
        <v>3</v>
      </c>
      <c r="C62" s="1745" t="s">
        <v>2653</v>
      </c>
      <c r="D62" s="1745" t="s">
        <v>2654</v>
      </c>
      <c r="E62" s="1745" t="s">
        <v>2655</v>
      </c>
      <c r="F62" s="1745" t="s">
        <v>2551</v>
      </c>
      <c r="G62" s="1745" t="s">
        <v>15</v>
      </c>
      <c r="H62" s="1745" t="s">
        <v>15</v>
      </c>
      <c r="I62" s="1745" t="s">
        <v>1016</v>
      </c>
    </row>
    <row r="63" spans="1:9" ht="11.25" customHeight="1">
      <c r="A63" s="1745" t="s">
        <v>2444</v>
      </c>
      <c r="B63" s="1745" t="s">
        <v>3</v>
      </c>
      <c r="C63" s="1745" t="s">
        <v>2656</v>
      </c>
      <c r="D63" s="1745" t="s">
        <v>2657</v>
      </c>
      <c r="E63" s="1745" t="s">
        <v>2658</v>
      </c>
      <c r="F63" s="1745" t="s">
        <v>2540</v>
      </c>
      <c r="G63" s="1745" t="s">
        <v>15</v>
      </c>
      <c r="H63" s="1745" t="s">
        <v>15</v>
      </c>
      <c r="I63" s="1745" t="s">
        <v>1016</v>
      </c>
    </row>
    <row r="64" spans="1:9" ht="11.25" customHeight="1">
      <c r="A64" s="1745" t="s">
        <v>2444</v>
      </c>
      <c r="B64" s="1745" t="s">
        <v>3</v>
      </c>
      <c r="C64" s="1745" t="s">
        <v>2659</v>
      </c>
      <c r="D64" s="1745" t="s">
        <v>2660</v>
      </c>
      <c r="E64" s="1745" t="s">
        <v>2661</v>
      </c>
      <c r="F64" s="1745" t="s">
        <v>2566</v>
      </c>
      <c r="G64" s="1745" t="s">
        <v>2662</v>
      </c>
      <c r="H64" s="1745" t="s">
        <v>15</v>
      </c>
      <c r="I64" s="1745" t="s">
        <v>1016</v>
      </c>
    </row>
    <row r="65" spans="1:9" ht="11.25" customHeight="1">
      <c r="A65" s="1745" t="s">
        <v>2444</v>
      </c>
      <c r="B65" s="1745" t="s">
        <v>3</v>
      </c>
      <c r="C65" s="1745" t="s">
        <v>2663</v>
      </c>
      <c r="D65" s="1745" t="s">
        <v>2664</v>
      </c>
      <c r="E65" s="1745" t="s">
        <v>2665</v>
      </c>
      <c r="F65" s="1745" t="s">
        <v>2466</v>
      </c>
      <c r="G65" s="1745" t="s">
        <v>15</v>
      </c>
      <c r="H65" s="1745" t="s">
        <v>15</v>
      </c>
      <c r="I65" s="1745" t="s">
        <v>1016</v>
      </c>
    </row>
    <row r="66" spans="1:9" ht="11.25" customHeight="1">
      <c r="A66" s="1745" t="s">
        <v>2444</v>
      </c>
      <c r="B66" s="1745" t="s">
        <v>3</v>
      </c>
      <c r="C66" s="1745" t="s">
        <v>2666</v>
      </c>
      <c r="D66" s="1745" t="s">
        <v>2667</v>
      </c>
      <c r="E66" s="1745" t="s">
        <v>2668</v>
      </c>
      <c r="F66" s="1745" t="s">
        <v>2669</v>
      </c>
      <c r="G66" s="1745" t="s">
        <v>15</v>
      </c>
      <c r="H66" s="1745" t="s">
        <v>15</v>
      </c>
      <c r="I66" s="1745" t="s">
        <v>1016</v>
      </c>
    </row>
    <row r="67" spans="1:9" ht="11.25" customHeight="1">
      <c r="A67" s="1745" t="s">
        <v>2444</v>
      </c>
      <c r="B67" s="1745" t="s">
        <v>3</v>
      </c>
      <c r="C67" s="1745" t="s">
        <v>2670</v>
      </c>
      <c r="D67" s="1745" t="s">
        <v>2671</v>
      </c>
      <c r="E67" s="1745" t="s">
        <v>2672</v>
      </c>
      <c r="F67" s="1745" t="s">
        <v>2673</v>
      </c>
      <c r="G67" s="1745" t="s">
        <v>15</v>
      </c>
      <c r="H67" s="1745" t="s">
        <v>15</v>
      </c>
      <c r="I67" s="1745" t="s">
        <v>1016</v>
      </c>
    </row>
    <row r="68" spans="1:9" ht="11.25" customHeight="1">
      <c r="A68" s="1745" t="s">
        <v>2444</v>
      </c>
      <c r="B68" s="1745" t="s">
        <v>3</v>
      </c>
      <c r="C68" s="1745" t="s">
        <v>2674</v>
      </c>
      <c r="D68" s="1745" t="s">
        <v>2675</v>
      </c>
      <c r="E68" s="1745" t="s">
        <v>2676</v>
      </c>
      <c r="F68" s="1745" t="s">
        <v>2621</v>
      </c>
      <c r="G68" s="1745" t="s">
        <v>15</v>
      </c>
      <c r="H68" s="1745" t="s">
        <v>15</v>
      </c>
      <c r="I68" s="1745" t="s">
        <v>1016</v>
      </c>
    </row>
    <row r="69" spans="1:9" ht="11.25" customHeight="1">
      <c r="A69" s="1745" t="s">
        <v>2444</v>
      </c>
      <c r="B69" s="1745" t="s">
        <v>3</v>
      </c>
      <c r="C69" s="1745" t="s">
        <v>2677</v>
      </c>
      <c r="D69" s="1745" t="s">
        <v>2678</v>
      </c>
      <c r="E69" s="1745" t="s">
        <v>2679</v>
      </c>
      <c r="F69" s="1745" t="s">
        <v>2504</v>
      </c>
      <c r="G69" s="1745" t="s">
        <v>15</v>
      </c>
      <c r="H69" s="1745" t="s">
        <v>15</v>
      </c>
      <c r="I69" s="1745" t="s">
        <v>1016</v>
      </c>
    </row>
    <row r="70" spans="1:9" ht="11.25" customHeight="1">
      <c r="A70" s="1745" t="s">
        <v>2444</v>
      </c>
      <c r="B70" s="1745" t="s">
        <v>3</v>
      </c>
      <c r="C70" s="1745" t="s">
        <v>2680</v>
      </c>
      <c r="D70" s="1745" t="s">
        <v>2681</v>
      </c>
      <c r="E70" s="1745" t="s">
        <v>2682</v>
      </c>
      <c r="F70" s="1745" t="s">
        <v>2621</v>
      </c>
      <c r="G70" s="1745" t="s">
        <v>15</v>
      </c>
      <c r="H70" s="1745" t="s">
        <v>15</v>
      </c>
      <c r="I70" s="1745" t="s">
        <v>1016</v>
      </c>
    </row>
    <row r="71" spans="1:9" ht="11.25" customHeight="1">
      <c r="A71" s="1745" t="s">
        <v>2444</v>
      </c>
      <c r="B71" s="1745" t="s">
        <v>3</v>
      </c>
      <c r="C71" s="1745" t="s">
        <v>2683</v>
      </c>
      <c r="D71" s="1745" t="s">
        <v>2684</v>
      </c>
      <c r="E71" s="1745" t="s">
        <v>2685</v>
      </c>
      <c r="F71" s="1745" t="s">
        <v>2673</v>
      </c>
      <c r="G71" s="1745" t="s">
        <v>15</v>
      </c>
      <c r="H71" s="1745" t="s">
        <v>15</v>
      </c>
      <c r="I71" s="1745" t="s">
        <v>1016</v>
      </c>
    </row>
    <row r="72" spans="1:9" ht="11.25" customHeight="1">
      <c r="A72" s="1745" t="s">
        <v>2444</v>
      </c>
      <c r="B72" s="1745" t="s">
        <v>3</v>
      </c>
      <c r="C72" s="1745" t="s">
        <v>2686</v>
      </c>
      <c r="D72" s="1745" t="s">
        <v>2687</v>
      </c>
      <c r="E72" s="1745" t="s">
        <v>2688</v>
      </c>
      <c r="F72" s="1745" t="s">
        <v>2689</v>
      </c>
      <c r="G72" s="1745" t="s">
        <v>15</v>
      </c>
      <c r="H72" s="1745" t="s">
        <v>15</v>
      </c>
      <c r="I72" s="1745" t="s">
        <v>1016</v>
      </c>
    </row>
    <row r="73" spans="1:9" ht="11.25" customHeight="1">
      <c r="A73" s="1745" t="s">
        <v>2444</v>
      </c>
      <c r="B73" s="1745" t="s">
        <v>3</v>
      </c>
      <c r="C73" s="1745" t="s">
        <v>2690</v>
      </c>
      <c r="D73" s="1745" t="s">
        <v>2691</v>
      </c>
      <c r="E73" s="1745" t="s">
        <v>2692</v>
      </c>
      <c r="F73" s="1745" t="s">
        <v>2491</v>
      </c>
      <c r="G73" s="1745" t="s">
        <v>15</v>
      </c>
      <c r="H73" s="1745" t="s">
        <v>15</v>
      </c>
      <c r="I73" s="1745" t="s">
        <v>1016</v>
      </c>
    </row>
    <row r="74" spans="1:9" ht="11.25" customHeight="1">
      <c r="A74" s="1745" t="s">
        <v>2444</v>
      </c>
      <c r="B74" s="1745" t="s">
        <v>3</v>
      </c>
      <c r="C74" s="1745" t="s">
        <v>2693</v>
      </c>
      <c r="D74" s="1745" t="s">
        <v>2694</v>
      </c>
      <c r="E74" s="1745" t="s">
        <v>2695</v>
      </c>
      <c r="F74" s="1745" t="s">
        <v>2491</v>
      </c>
      <c r="G74" s="1745" t="s">
        <v>15</v>
      </c>
      <c r="H74" s="1745" t="s">
        <v>15</v>
      </c>
      <c r="I74" s="1745" t="s">
        <v>1016</v>
      </c>
    </row>
    <row r="75" spans="1:9" ht="11.25" customHeight="1">
      <c r="A75" s="1745" t="s">
        <v>2444</v>
      </c>
      <c r="B75" s="1745" t="s">
        <v>3</v>
      </c>
      <c r="C75" s="1745" t="s">
        <v>2696</v>
      </c>
      <c r="D75" s="1745" t="s">
        <v>2697</v>
      </c>
      <c r="E75" s="1745" t="s">
        <v>2698</v>
      </c>
      <c r="F75" s="1745" t="s">
        <v>2540</v>
      </c>
      <c r="G75" s="1745" t="s">
        <v>15</v>
      </c>
      <c r="H75" s="1745" t="s">
        <v>15</v>
      </c>
      <c r="I75" s="1745" t="s">
        <v>1016</v>
      </c>
    </row>
    <row r="76" spans="1:9" ht="11.25" customHeight="1">
      <c r="A76" s="1745" t="s">
        <v>2444</v>
      </c>
      <c r="B76" s="1745" t="s">
        <v>3</v>
      </c>
      <c r="C76" s="1745" t="s">
        <v>2699</v>
      </c>
      <c r="D76" s="1745" t="s">
        <v>2700</v>
      </c>
      <c r="E76" s="1745" t="s">
        <v>2701</v>
      </c>
      <c r="F76" s="1745" t="s">
        <v>38</v>
      </c>
      <c r="G76" s="1745" t="s">
        <v>15</v>
      </c>
      <c r="H76" s="1745" t="s">
        <v>15</v>
      </c>
      <c r="I76" s="1745" t="s">
        <v>1016</v>
      </c>
    </row>
    <row r="77" spans="1:9" ht="11.25" customHeight="1">
      <c r="A77" s="1745" t="s">
        <v>2444</v>
      </c>
      <c r="B77" s="1745" t="s">
        <v>3</v>
      </c>
      <c r="C77" s="1745" t="s">
        <v>2702</v>
      </c>
      <c r="D77" s="1745" t="s">
        <v>2703</v>
      </c>
      <c r="E77" s="1745" t="s">
        <v>2704</v>
      </c>
      <c r="F77" s="1745" t="s">
        <v>2705</v>
      </c>
      <c r="G77" s="1745" t="s">
        <v>15</v>
      </c>
      <c r="H77" s="1745" t="s">
        <v>15</v>
      </c>
      <c r="I77" s="1745" t="s">
        <v>1016</v>
      </c>
    </row>
    <row r="78" spans="1:9" ht="11.25" customHeight="1">
      <c r="A78" s="1745" t="s">
        <v>2444</v>
      </c>
      <c r="B78" s="1745" t="s">
        <v>3</v>
      </c>
      <c r="C78" s="1745" t="s">
        <v>2706</v>
      </c>
      <c r="D78" s="1745" t="s">
        <v>2707</v>
      </c>
      <c r="E78" s="1745" t="s">
        <v>2708</v>
      </c>
      <c r="F78" s="1745" t="s">
        <v>2504</v>
      </c>
      <c r="G78" s="1745" t="s">
        <v>2581</v>
      </c>
      <c r="H78" s="1745" t="s">
        <v>15</v>
      </c>
      <c r="I78" s="1745" t="s">
        <v>1016</v>
      </c>
    </row>
    <row r="79" spans="1:9" ht="11.25" customHeight="1">
      <c r="A79" s="1745" t="s">
        <v>2444</v>
      </c>
      <c r="B79" s="1745" t="s">
        <v>3</v>
      </c>
      <c r="C79" s="1745" t="s">
        <v>2709</v>
      </c>
      <c r="D79" s="1745" t="s">
        <v>2710</v>
      </c>
      <c r="E79" s="1745" t="s">
        <v>2711</v>
      </c>
      <c r="F79" s="1745" t="s">
        <v>2632</v>
      </c>
      <c r="G79" s="1745" t="s">
        <v>15</v>
      </c>
      <c r="H79" s="1745" t="s">
        <v>15</v>
      </c>
      <c r="I79" s="1745" t="s">
        <v>1016</v>
      </c>
    </row>
    <row r="80" spans="1:9" ht="11.25" customHeight="1">
      <c r="A80" s="1745" t="s">
        <v>2444</v>
      </c>
      <c r="B80" s="1745" t="s">
        <v>3</v>
      </c>
      <c r="C80" s="1745" t="s">
        <v>2712</v>
      </c>
      <c r="D80" s="1745" t="s">
        <v>2713</v>
      </c>
      <c r="E80" s="1745" t="s">
        <v>2714</v>
      </c>
      <c r="F80" s="1745" t="s">
        <v>38</v>
      </c>
      <c r="G80" s="1745" t="s">
        <v>15</v>
      </c>
      <c r="H80" s="1745" t="s">
        <v>15</v>
      </c>
      <c r="I80" s="1745" t="s">
        <v>1016</v>
      </c>
    </row>
    <row r="81" spans="1:9" ht="11.25" customHeight="1">
      <c r="A81" s="1745" t="s">
        <v>2444</v>
      </c>
      <c r="B81" s="1745" t="s">
        <v>3</v>
      </c>
      <c r="C81" s="1745" t="s">
        <v>2715</v>
      </c>
      <c r="D81" s="1745" t="s">
        <v>2716</v>
      </c>
      <c r="E81" s="1745" t="s">
        <v>2717</v>
      </c>
      <c r="F81" s="1745" t="s">
        <v>2562</v>
      </c>
      <c r="G81" s="1745" t="s">
        <v>15</v>
      </c>
      <c r="H81" s="1745" t="s">
        <v>15</v>
      </c>
      <c r="I81" s="1745" t="s">
        <v>1016</v>
      </c>
    </row>
    <row r="82" spans="1:9" ht="11.25" customHeight="1">
      <c r="A82" s="1745" t="s">
        <v>2444</v>
      </c>
      <c r="B82" s="1745" t="s">
        <v>3</v>
      </c>
      <c r="C82" s="1745" t="s">
        <v>2718</v>
      </c>
      <c r="D82" s="1745" t="s">
        <v>2719</v>
      </c>
      <c r="E82" s="1745" t="s">
        <v>2720</v>
      </c>
      <c r="F82" s="1745" t="s">
        <v>2632</v>
      </c>
      <c r="G82" s="1745" t="s">
        <v>15</v>
      </c>
      <c r="H82" s="1745" t="s">
        <v>15</v>
      </c>
      <c r="I82" s="1745" t="s">
        <v>1016</v>
      </c>
    </row>
    <row r="83" spans="1:9" ht="11.25" customHeight="1">
      <c r="A83" s="1745" t="s">
        <v>2444</v>
      </c>
      <c r="B83" s="1745" t="s">
        <v>3</v>
      </c>
      <c r="C83" s="1745" t="s">
        <v>2721</v>
      </c>
      <c r="D83" s="1745" t="s">
        <v>2722</v>
      </c>
      <c r="E83" s="1745" t="s">
        <v>2723</v>
      </c>
      <c r="F83" s="1745" t="s">
        <v>2491</v>
      </c>
      <c r="G83" s="1745" t="s">
        <v>15</v>
      </c>
      <c r="H83" s="1745" t="s">
        <v>15</v>
      </c>
      <c r="I83" s="1745" t="s">
        <v>1016</v>
      </c>
    </row>
    <row r="84" spans="1:9" ht="11.25" customHeight="1">
      <c r="A84" s="1745" t="s">
        <v>2444</v>
      </c>
      <c r="B84" s="1745" t="s">
        <v>3</v>
      </c>
      <c r="C84" s="1745" t="s">
        <v>2724</v>
      </c>
      <c r="D84" s="1745" t="s">
        <v>2725</v>
      </c>
      <c r="E84" s="1745" t="s">
        <v>2726</v>
      </c>
      <c r="F84" s="1745" t="s">
        <v>2566</v>
      </c>
      <c r="G84" s="1745" t="s">
        <v>15</v>
      </c>
      <c r="H84" s="1745" t="s">
        <v>15</v>
      </c>
      <c r="I84" s="1745" t="s">
        <v>1016</v>
      </c>
    </row>
    <row r="85" spans="1:9" ht="11.25" customHeight="1">
      <c r="A85" s="1745" t="s">
        <v>2444</v>
      </c>
      <c r="B85" s="1745" t="s">
        <v>3</v>
      </c>
      <c r="C85" s="1745" t="s">
        <v>2727</v>
      </c>
      <c r="D85" s="1745" t="s">
        <v>2728</v>
      </c>
      <c r="E85" s="1745" t="s">
        <v>2729</v>
      </c>
      <c r="F85" s="1745" t="s">
        <v>2504</v>
      </c>
      <c r="G85" s="1745" t="s">
        <v>15</v>
      </c>
      <c r="H85" s="1745" t="s">
        <v>15</v>
      </c>
      <c r="I85" s="1745" t="s">
        <v>1016</v>
      </c>
    </row>
    <row r="86" spans="1:9" ht="11.25" customHeight="1">
      <c r="A86" s="1745" t="s">
        <v>2444</v>
      </c>
      <c r="B86" s="1745" t="s">
        <v>3</v>
      </c>
      <c r="C86" s="1745" t="s">
        <v>2730</v>
      </c>
      <c r="D86" s="1745" t="s">
        <v>2731</v>
      </c>
      <c r="E86" s="1745" t="s">
        <v>2732</v>
      </c>
      <c r="F86" s="1745" t="s">
        <v>2491</v>
      </c>
      <c r="G86" s="1745" t="s">
        <v>15</v>
      </c>
      <c r="H86" s="1745" t="s">
        <v>15</v>
      </c>
      <c r="I86" s="1745" t="s">
        <v>1016</v>
      </c>
    </row>
    <row r="87" spans="1:9" ht="11.25" customHeight="1">
      <c r="A87" s="1745" t="s">
        <v>2444</v>
      </c>
      <c r="B87" s="1745" t="s">
        <v>3</v>
      </c>
      <c r="C87" s="1745" t="s">
        <v>2733</v>
      </c>
      <c r="D87" s="1745" t="s">
        <v>2734</v>
      </c>
      <c r="E87" s="1745" t="s">
        <v>2735</v>
      </c>
      <c r="F87" s="1745" t="s">
        <v>2673</v>
      </c>
      <c r="G87" s="1745" t="s">
        <v>15</v>
      </c>
      <c r="H87" s="1745" t="s">
        <v>15</v>
      </c>
      <c r="I87" s="1745" t="s">
        <v>1016</v>
      </c>
    </row>
    <row r="88" spans="1:9" ht="11.25" customHeight="1">
      <c r="A88" s="1745" t="s">
        <v>2444</v>
      </c>
      <c r="B88" s="1745" t="s">
        <v>3</v>
      </c>
      <c r="C88" s="1745" t="s">
        <v>2736</v>
      </c>
      <c r="D88" s="1745" t="s">
        <v>2737</v>
      </c>
      <c r="E88" s="1745" t="s">
        <v>2738</v>
      </c>
      <c r="F88" s="1745" t="s">
        <v>2504</v>
      </c>
      <c r="G88" s="1745" t="s">
        <v>15</v>
      </c>
      <c r="H88" s="1745" t="s">
        <v>15</v>
      </c>
      <c r="I88" s="1745" t="s">
        <v>1016</v>
      </c>
    </row>
    <row r="89" spans="1:9" ht="11.25" customHeight="1">
      <c r="A89" s="1745" t="s">
        <v>2444</v>
      </c>
      <c r="B89" s="1745" t="s">
        <v>3</v>
      </c>
      <c r="C89" s="1745" t="s">
        <v>2739</v>
      </c>
      <c r="D89" s="1745" t="s">
        <v>2740</v>
      </c>
      <c r="E89" s="1745" t="s">
        <v>2741</v>
      </c>
      <c r="F89" s="1745" t="s">
        <v>2673</v>
      </c>
      <c r="G89" s="1745" t="s">
        <v>15</v>
      </c>
      <c r="H89" s="1745" t="s">
        <v>15</v>
      </c>
      <c r="I89" s="1745" t="s">
        <v>1016</v>
      </c>
    </row>
    <row r="90" spans="1:9" ht="11.25" customHeight="1">
      <c r="A90" s="1745" t="s">
        <v>2444</v>
      </c>
      <c r="B90" s="1745" t="s">
        <v>3</v>
      </c>
      <c r="C90" s="1745" t="s">
        <v>2742</v>
      </c>
      <c r="D90" s="1745" t="s">
        <v>2743</v>
      </c>
      <c r="E90" s="1745" t="s">
        <v>2744</v>
      </c>
      <c r="F90" s="1745" t="s">
        <v>2673</v>
      </c>
      <c r="G90" s="1745" t="s">
        <v>2745</v>
      </c>
      <c r="H90" s="1745" t="s">
        <v>15</v>
      </c>
      <c r="I90" s="1745" t="s">
        <v>1016</v>
      </c>
    </row>
    <row r="91" spans="1:9" ht="11.25" customHeight="1">
      <c r="A91" s="1745" t="s">
        <v>2444</v>
      </c>
      <c r="B91" s="1745" t="s">
        <v>3</v>
      </c>
      <c r="C91" s="1745" t="s">
        <v>2746</v>
      </c>
      <c r="D91" s="1745" t="s">
        <v>2747</v>
      </c>
      <c r="E91" s="1745" t="s">
        <v>2748</v>
      </c>
      <c r="F91" s="1745" t="s">
        <v>2466</v>
      </c>
      <c r="G91" s="1745" t="s">
        <v>2745</v>
      </c>
      <c r="H91" s="1745" t="s">
        <v>15</v>
      </c>
      <c r="I91" s="1745" t="s">
        <v>1016</v>
      </c>
    </row>
    <row r="92" spans="1:9" ht="11.25" customHeight="1">
      <c r="A92" s="1745" t="s">
        <v>2444</v>
      </c>
      <c r="B92" s="1745" t="s">
        <v>3</v>
      </c>
      <c r="C92" s="1745" t="s">
        <v>2749</v>
      </c>
      <c r="D92" s="1745" t="s">
        <v>2750</v>
      </c>
      <c r="E92" s="1745" t="s">
        <v>2751</v>
      </c>
      <c r="F92" s="1745" t="s">
        <v>2562</v>
      </c>
      <c r="G92" s="1745" t="s">
        <v>15</v>
      </c>
      <c r="H92" s="1745" t="s">
        <v>15</v>
      </c>
      <c r="I92" s="1745" t="s">
        <v>1016</v>
      </c>
    </row>
    <row r="93" spans="1:9" ht="11.25" customHeight="1">
      <c r="A93" s="1745" t="s">
        <v>2444</v>
      </c>
      <c r="B93" s="1745" t="s">
        <v>3</v>
      </c>
      <c r="C93" s="1745" t="s">
        <v>2752</v>
      </c>
      <c r="D93" s="1745" t="s">
        <v>2753</v>
      </c>
      <c r="E93" s="1745" t="s">
        <v>2754</v>
      </c>
      <c r="F93" s="1745" t="s">
        <v>2755</v>
      </c>
      <c r="G93" s="1745" t="s">
        <v>15</v>
      </c>
      <c r="H93" s="1745" t="s">
        <v>15</v>
      </c>
      <c r="I93" s="1745" t="s">
        <v>1016</v>
      </c>
    </row>
    <row r="94" spans="1:9" ht="11.25" customHeight="1">
      <c r="A94" s="1745" t="s">
        <v>2444</v>
      </c>
      <c r="B94" s="1745" t="s">
        <v>3</v>
      </c>
      <c r="C94" s="1745" t="s">
        <v>2756</v>
      </c>
      <c r="D94" s="1745" t="s">
        <v>2757</v>
      </c>
      <c r="E94" s="1745" t="s">
        <v>2758</v>
      </c>
      <c r="F94" s="1745" t="s">
        <v>2466</v>
      </c>
      <c r="G94" s="1745" t="s">
        <v>15</v>
      </c>
      <c r="H94" s="1745" t="s">
        <v>15</v>
      </c>
      <c r="I94" s="1745" t="s">
        <v>1016</v>
      </c>
    </row>
    <row r="95" spans="1:9" ht="11.25" customHeight="1">
      <c r="A95" s="1745" t="s">
        <v>2444</v>
      </c>
      <c r="B95" s="1745" t="s">
        <v>3</v>
      </c>
      <c r="C95" s="1745" t="s">
        <v>2759</v>
      </c>
      <c r="D95" s="1745" t="s">
        <v>2760</v>
      </c>
      <c r="E95" s="1745" t="s">
        <v>2761</v>
      </c>
      <c r="F95" s="1745" t="s">
        <v>2466</v>
      </c>
      <c r="G95" s="1745" t="s">
        <v>15</v>
      </c>
      <c r="H95" s="1745" t="s">
        <v>15</v>
      </c>
      <c r="I95" s="1745" t="s">
        <v>1016</v>
      </c>
    </row>
    <row r="96" spans="1:9" ht="11.25" customHeight="1">
      <c r="A96" s="1745" t="s">
        <v>2444</v>
      </c>
      <c r="B96" s="1745" t="s">
        <v>3</v>
      </c>
      <c r="C96" s="1745" t="s">
        <v>2762</v>
      </c>
      <c r="D96" s="1745" t="s">
        <v>2763</v>
      </c>
      <c r="E96" s="1745" t="s">
        <v>2764</v>
      </c>
      <c r="F96" s="1745" t="s">
        <v>2466</v>
      </c>
      <c r="G96" s="1745" t="s">
        <v>15</v>
      </c>
      <c r="H96" s="1745" t="s">
        <v>15</v>
      </c>
      <c r="I96" s="1745" t="s">
        <v>1016</v>
      </c>
    </row>
    <row r="97" spans="1:9" ht="11.25" customHeight="1">
      <c r="A97" s="1745" t="s">
        <v>2444</v>
      </c>
      <c r="B97" s="1745" t="s">
        <v>3</v>
      </c>
      <c r="C97" s="1745" t="s">
        <v>2765</v>
      </c>
      <c r="D97" s="1745" t="s">
        <v>2766</v>
      </c>
      <c r="E97" s="1745" t="s">
        <v>2767</v>
      </c>
      <c r="F97" s="1745" t="s">
        <v>2632</v>
      </c>
      <c r="G97" s="1745" t="s">
        <v>2745</v>
      </c>
      <c r="H97" s="1745" t="s">
        <v>15</v>
      </c>
      <c r="I97" s="1745" t="s">
        <v>1016</v>
      </c>
    </row>
    <row r="98" spans="1:9" ht="11.25" customHeight="1">
      <c r="A98" s="1745" t="s">
        <v>2444</v>
      </c>
      <c r="B98" s="1745" t="s">
        <v>3</v>
      </c>
      <c r="C98" s="1745" t="s">
        <v>2768</v>
      </c>
      <c r="D98" s="1745" t="s">
        <v>2769</v>
      </c>
      <c r="E98" s="1745" t="s">
        <v>2770</v>
      </c>
      <c r="F98" s="1745" t="s">
        <v>2466</v>
      </c>
      <c r="G98" s="1745" t="s">
        <v>15</v>
      </c>
      <c r="H98" s="1745" t="s">
        <v>15</v>
      </c>
      <c r="I98" s="1745" t="s">
        <v>1016</v>
      </c>
    </row>
    <row r="99" spans="1:9" ht="11.25" customHeight="1">
      <c r="A99" s="1745" t="s">
        <v>2444</v>
      </c>
      <c r="B99" s="1745" t="s">
        <v>3</v>
      </c>
      <c r="C99" s="1745" t="s">
        <v>2771</v>
      </c>
      <c r="D99" s="1745" t="s">
        <v>2772</v>
      </c>
      <c r="E99" s="1745" t="s">
        <v>2773</v>
      </c>
      <c r="F99" s="1745" t="s">
        <v>2566</v>
      </c>
      <c r="G99" s="1745" t="s">
        <v>15</v>
      </c>
      <c r="H99" s="1745" t="s">
        <v>15</v>
      </c>
      <c r="I99" s="1745" t="s">
        <v>1016</v>
      </c>
    </row>
    <row r="100" spans="1:9" ht="11.25" customHeight="1">
      <c r="A100" s="1745" t="s">
        <v>2444</v>
      </c>
      <c r="B100" s="1745" t="s">
        <v>3</v>
      </c>
      <c r="C100" s="1745" t="s">
        <v>2774</v>
      </c>
      <c r="D100" s="1745" t="s">
        <v>2772</v>
      </c>
      <c r="E100" s="1745" t="s">
        <v>2775</v>
      </c>
      <c r="F100" s="1745" t="s">
        <v>2755</v>
      </c>
      <c r="G100" s="1745" t="s">
        <v>15</v>
      </c>
      <c r="H100" s="1745" t="s">
        <v>15</v>
      </c>
      <c r="I100" s="1745" t="s">
        <v>1016</v>
      </c>
    </row>
    <row r="101" spans="1:9" ht="11.25" customHeight="1">
      <c r="A101" s="1745" t="s">
        <v>2444</v>
      </c>
      <c r="B101" s="1745" t="s">
        <v>3</v>
      </c>
      <c r="C101" s="1745" t="s">
        <v>2776</v>
      </c>
      <c r="D101" s="1745" t="s">
        <v>2777</v>
      </c>
      <c r="E101" s="1745" t="s">
        <v>2778</v>
      </c>
      <c r="F101" s="1745" t="s">
        <v>2466</v>
      </c>
      <c r="G101" s="1745" t="s">
        <v>15</v>
      </c>
      <c r="H101" s="1745" t="s">
        <v>15</v>
      </c>
      <c r="I101" s="1745" t="s">
        <v>1016</v>
      </c>
    </row>
    <row r="102" spans="1:9" ht="11.25" customHeight="1">
      <c r="A102" s="1745" t="s">
        <v>2444</v>
      </c>
      <c r="B102" s="1745" t="s">
        <v>3</v>
      </c>
      <c r="C102" s="1745" t="s">
        <v>2779</v>
      </c>
      <c r="D102" s="1745" t="s">
        <v>2780</v>
      </c>
      <c r="E102" s="1745" t="s">
        <v>2781</v>
      </c>
      <c r="F102" s="1745" t="s">
        <v>2504</v>
      </c>
      <c r="G102" s="1745" t="s">
        <v>15</v>
      </c>
      <c r="H102" s="1745" t="s">
        <v>15</v>
      </c>
      <c r="I102" s="1745" t="s">
        <v>1016</v>
      </c>
    </row>
    <row r="103" spans="1:9" ht="11.25" customHeight="1">
      <c r="A103" s="1745" t="s">
        <v>2444</v>
      </c>
      <c r="B103" s="1745" t="s">
        <v>3</v>
      </c>
      <c r="C103" s="1745" t="s">
        <v>2782</v>
      </c>
      <c r="D103" s="1745" t="s">
        <v>2783</v>
      </c>
      <c r="E103" s="1745" t="s">
        <v>2784</v>
      </c>
      <c r="F103" s="1745" t="s">
        <v>38</v>
      </c>
      <c r="G103" s="1745" t="s">
        <v>15</v>
      </c>
      <c r="H103" s="1745" t="s">
        <v>15</v>
      </c>
      <c r="I103" s="1745" t="s">
        <v>1016</v>
      </c>
    </row>
    <row r="104" spans="1:9" ht="11.25" customHeight="1">
      <c r="A104" s="1745" t="s">
        <v>2444</v>
      </c>
      <c r="B104" s="1745" t="s">
        <v>3</v>
      </c>
      <c r="C104" s="1745" t="s">
        <v>2785</v>
      </c>
      <c r="D104" s="1745" t="s">
        <v>2786</v>
      </c>
      <c r="E104" s="1745" t="s">
        <v>2787</v>
      </c>
      <c r="F104" s="1745" t="s">
        <v>2562</v>
      </c>
      <c r="G104" s="1745" t="s">
        <v>15</v>
      </c>
      <c r="H104" s="1745" t="s">
        <v>15</v>
      </c>
      <c r="I104" s="1745" t="s">
        <v>1016</v>
      </c>
    </row>
    <row r="105" spans="1:9" ht="11.25" customHeight="1">
      <c r="A105" s="1745" t="s">
        <v>2444</v>
      </c>
      <c r="B105" s="1745" t="s">
        <v>3</v>
      </c>
      <c r="C105" s="1745" t="s">
        <v>2788</v>
      </c>
      <c r="D105" s="1745" t="s">
        <v>2789</v>
      </c>
      <c r="E105" s="1745" t="s">
        <v>2790</v>
      </c>
      <c r="F105" s="1745" t="s">
        <v>2632</v>
      </c>
      <c r="G105" s="1745" t="s">
        <v>15</v>
      </c>
      <c r="H105" s="1745" t="s">
        <v>15</v>
      </c>
      <c r="I105" s="1745" t="s">
        <v>1016</v>
      </c>
    </row>
    <row r="106" spans="1:9" ht="11.25" customHeight="1">
      <c r="A106" s="1745" t="s">
        <v>2444</v>
      </c>
      <c r="B106" s="1745" t="s">
        <v>3</v>
      </c>
      <c r="C106" s="1745" t="s">
        <v>2791</v>
      </c>
      <c r="D106" s="1745" t="s">
        <v>2792</v>
      </c>
      <c r="E106" s="1745" t="s">
        <v>2793</v>
      </c>
      <c r="F106" s="1745" t="s">
        <v>2566</v>
      </c>
      <c r="G106" s="1745" t="s">
        <v>15</v>
      </c>
      <c r="H106" s="1745" t="s">
        <v>15</v>
      </c>
      <c r="I106" s="1745" t="s">
        <v>1016</v>
      </c>
    </row>
    <row r="107" spans="1:9" ht="11.25" customHeight="1">
      <c r="A107" s="1745" t="s">
        <v>2444</v>
      </c>
      <c r="B107" s="1745" t="s">
        <v>3</v>
      </c>
      <c r="C107" s="1745" t="s">
        <v>2794</v>
      </c>
      <c r="D107" s="1745" t="s">
        <v>2795</v>
      </c>
      <c r="E107" s="1745" t="s">
        <v>2796</v>
      </c>
      <c r="F107" s="1745" t="s">
        <v>2632</v>
      </c>
      <c r="G107" s="1745" t="s">
        <v>2662</v>
      </c>
      <c r="H107" s="1745" t="s">
        <v>15</v>
      </c>
      <c r="I107" s="1745" t="s">
        <v>1016</v>
      </c>
    </row>
    <row r="108" spans="1:9" ht="11.25" customHeight="1">
      <c r="A108" s="1745" t="s">
        <v>2444</v>
      </c>
      <c r="B108" s="1745" t="s">
        <v>3</v>
      </c>
      <c r="C108" s="1745" t="s">
        <v>2797</v>
      </c>
      <c r="D108" s="1745" t="s">
        <v>2798</v>
      </c>
      <c r="E108" s="1745" t="s">
        <v>2799</v>
      </c>
      <c r="F108" s="1745" t="s">
        <v>2673</v>
      </c>
      <c r="G108" s="1745" t="s">
        <v>15</v>
      </c>
      <c r="H108" s="1745" t="s">
        <v>15</v>
      </c>
      <c r="I108" s="1745" t="s">
        <v>1016</v>
      </c>
    </row>
    <row r="109" spans="1:9" ht="11.25" customHeight="1">
      <c r="A109" s="1745" t="s">
        <v>2444</v>
      </c>
      <c r="B109" s="1745" t="s">
        <v>3</v>
      </c>
      <c r="C109" s="1745" t="s">
        <v>2800</v>
      </c>
      <c r="D109" s="1745" t="s">
        <v>2801</v>
      </c>
      <c r="E109" s="1745" t="s">
        <v>2802</v>
      </c>
      <c r="F109" s="1745" t="s">
        <v>2632</v>
      </c>
      <c r="G109" s="1745" t="s">
        <v>15</v>
      </c>
      <c r="H109" s="1745" t="s">
        <v>15</v>
      </c>
      <c r="I109" s="1745" t="s">
        <v>1016</v>
      </c>
    </row>
    <row r="110" spans="1:9" ht="11.25" customHeight="1">
      <c r="A110" s="1745" t="s">
        <v>2444</v>
      </c>
      <c r="B110" s="1745" t="s">
        <v>3</v>
      </c>
      <c r="C110" s="1745" t="s">
        <v>2803</v>
      </c>
      <c r="D110" s="1745" t="s">
        <v>2804</v>
      </c>
      <c r="E110" s="1745" t="s">
        <v>2805</v>
      </c>
      <c r="F110" s="1745" t="s">
        <v>2632</v>
      </c>
      <c r="G110" s="1745" t="s">
        <v>2745</v>
      </c>
      <c r="H110" s="1745" t="s">
        <v>15</v>
      </c>
      <c r="I110" s="1745" t="s">
        <v>1016</v>
      </c>
    </row>
    <row r="111" spans="1:9" ht="11.25" customHeight="1">
      <c r="A111" s="1745" t="s">
        <v>2444</v>
      </c>
      <c r="B111" s="1745" t="s">
        <v>3</v>
      </c>
      <c r="C111" s="1745" t="s">
        <v>2806</v>
      </c>
      <c r="D111" s="1745" t="s">
        <v>2807</v>
      </c>
      <c r="E111" s="1745" t="s">
        <v>2808</v>
      </c>
      <c r="F111" s="1745" t="s">
        <v>2551</v>
      </c>
      <c r="G111" s="1745" t="s">
        <v>15</v>
      </c>
      <c r="H111" s="1745" t="s">
        <v>15</v>
      </c>
      <c r="I111" s="1745" t="s">
        <v>1016</v>
      </c>
    </row>
    <row r="112" spans="1:9" ht="11.25" customHeight="1">
      <c r="A112" s="1745" t="s">
        <v>2444</v>
      </c>
      <c r="B112" s="1745" t="s">
        <v>3</v>
      </c>
      <c r="C112" s="1745" t="s">
        <v>2809</v>
      </c>
      <c r="D112" s="1745" t="s">
        <v>2810</v>
      </c>
      <c r="E112" s="1745" t="s">
        <v>2811</v>
      </c>
      <c r="F112" s="1745" t="s">
        <v>2466</v>
      </c>
      <c r="G112" s="1745" t="s">
        <v>15</v>
      </c>
      <c r="H112" s="1745" t="s">
        <v>15</v>
      </c>
      <c r="I112" s="1745" t="s">
        <v>1016</v>
      </c>
    </row>
    <row r="113" spans="1:9" ht="11.25" customHeight="1">
      <c r="A113" s="1745" t="s">
        <v>2444</v>
      </c>
      <c r="B113" s="1745" t="s">
        <v>3</v>
      </c>
      <c r="C113" s="1745" t="s">
        <v>2812</v>
      </c>
      <c r="D113" s="1745" t="s">
        <v>2813</v>
      </c>
      <c r="E113" s="1745" t="s">
        <v>2814</v>
      </c>
      <c r="F113" s="1745" t="s">
        <v>2632</v>
      </c>
      <c r="G113" s="1745" t="s">
        <v>15</v>
      </c>
      <c r="H113" s="1745" t="s">
        <v>15</v>
      </c>
      <c r="I113" s="1745" t="s">
        <v>1016</v>
      </c>
    </row>
    <row r="114" spans="1:9" ht="11.25" customHeight="1">
      <c r="A114" s="1745" t="s">
        <v>2444</v>
      </c>
      <c r="B114" s="1745" t="s">
        <v>3</v>
      </c>
      <c r="C114" s="1745" t="s">
        <v>2815</v>
      </c>
      <c r="D114" s="1745" t="s">
        <v>2816</v>
      </c>
      <c r="E114" s="1745" t="s">
        <v>2817</v>
      </c>
      <c r="F114" s="1745" t="s">
        <v>2632</v>
      </c>
      <c r="G114" s="1745" t="s">
        <v>15</v>
      </c>
      <c r="H114" s="1745" t="s">
        <v>15</v>
      </c>
      <c r="I114" s="1745" t="s">
        <v>1016</v>
      </c>
    </row>
    <row r="115" spans="1:9" ht="11.25" customHeight="1">
      <c r="A115" s="1745" t="s">
        <v>2444</v>
      </c>
      <c r="B115" s="1745" t="s">
        <v>3</v>
      </c>
      <c r="C115" s="1745" t="s">
        <v>0</v>
      </c>
      <c r="D115" s="1745" t="s">
        <v>33</v>
      </c>
      <c r="E115" s="1745" t="s">
        <v>36</v>
      </c>
      <c r="F115" s="1745" t="s">
        <v>38</v>
      </c>
      <c r="G115" s="1745" t="s">
        <v>15</v>
      </c>
      <c r="H115" s="1745" t="s">
        <v>15</v>
      </c>
      <c r="I115" s="1745" t="s">
        <v>1016</v>
      </c>
    </row>
    <row r="116" spans="1:9" ht="11.25" customHeight="1">
      <c r="A116" s="1745" t="s">
        <v>2444</v>
      </c>
      <c r="B116" s="1745" t="s">
        <v>3</v>
      </c>
      <c r="C116" s="1745" t="s">
        <v>2818</v>
      </c>
      <c r="D116" s="1745" t="s">
        <v>2819</v>
      </c>
      <c r="E116" s="1745" t="s">
        <v>2820</v>
      </c>
      <c r="F116" s="1745" t="s">
        <v>2621</v>
      </c>
      <c r="G116" s="1745" t="s">
        <v>15</v>
      </c>
      <c r="H116" s="1745" t="s">
        <v>15</v>
      </c>
      <c r="I116" s="1745" t="s">
        <v>1016</v>
      </c>
    </row>
    <row r="117" spans="1:9" ht="11.25" customHeight="1">
      <c r="A117" s="1745" t="s">
        <v>2444</v>
      </c>
      <c r="B117" s="1745" t="s">
        <v>3</v>
      </c>
      <c r="C117" s="1745" t="s">
        <v>2821</v>
      </c>
      <c r="D117" s="1745" t="s">
        <v>2822</v>
      </c>
      <c r="E117" s="1745" t="s">
        <v>2823</v>
      </c>
      <c r="F117" s="1745" t="s">
        <v>2566</v>
      </c>
      <c r="G117" s="1745" t="s">
        <v>15</v>
      </c>
      <c r="H117" s="1745" t="s">
        <v>15</v>
      </c>
      <c r="I117" s="1745" t="s">
        <v>1016</v>
      </c>
    </row>
    <row r="118" spans="1:9" ht="11.25" customHeight="1">
      <c r="A118" s="1745" t="s">
        <v>2444</v>
      </c>
      <c r="B118" s="1745" t="s">
        <v>3</v>
      </c>
      <c r="C118" s="1745" t="s">
        <v>2824</v>
      </c>
      <c r="D118" s="1745" t="s">
        <v>2825</v>
      </c>
      <c r="E118" s="1745" t="s">
        <v>2826</v>
      </c>
      <c r="F118" s="1745" t="s">
        <v>2827</v>
      </c>
      <c r="G118" s="1745" t="s">
        <v>15</v>
      </c>
      <c r="H118" s="1745" t="s">
        <v>15</v>
      </c>
      <c r="I118" s="1745" t="s">
        <v>1016</v>
      </c>
    </row>
    <row r="119" spans="1:9" ht="11.25" customHeight="1">
      <c r="A119" s="1745" t="s">
        <v>2444</v>
      </c>
      <c r="B119" s="1745" t="s">
        <v>3</v>
      </c>
      <c r="C119" s="1745" t="s">
        <v>2828</v>
      </c>
      <c r="D119" s="1745" t="s">
        <v>2829</v>
      </c>
      <c r="E119" s="1745" t="s">
        <v>2830</v>
      </c>
      <c r="F119" s="1745" t="s">
        <v>2551</v>
      </c>
      <c r="G119" s="1745" t="s">
        <v>2831</v>
      </c>
      <c r="H119" s="1745" t="s">
        <v>15</v>
      </c>
      <c r="I119" s="1745" t="s">
        <v>1016</v>
      </c>
    </row>
    <row r="120" spans="1:9" ht="11.25" customHeight="1">
      <c r="A120" s="1745" t="s">
        <v>2444</v>
      </c>
      <c r="B120" s="1745" t="s">
        <v>3</v>
      </c>
      <c r="C120" s="1745" t="s">
        <v>2832</v>
      </c>
      <c r="D120" s="1745" t="s">
        <v>2833</v>
      </c>
      <c r="E120" s="1745" t="s">
        <v>2834</v>
      </c>
      <c r="F120" s="1745" t="s">
        <v>2632</v>
      </c>
      <c r="G120" s="1745" t="s">
        <v>2611</v>
      </c>
      <c r="H120" s="1745" t="s">
        <v>15</v>
      </c>
      <c r="I120" s="1745" t="s">
        <v>1016</v>
      </c>
    </row>
    <row r="121" spans="1:9" ht="11.25" customHeight="1">
      <c r="A121" s="1745" t="s">
        <v>2444</v>
      </c>
      <c r="B121" s="1745" t="s">
        <v>3</v>
      </c>
      <c r="C121" s="1745" t="s">
        <v>2835</v>
      </c>
      <c r="D121" s="1745" t="s">
        <v>2836</v>
      </c>
      <c r="E121" s="1745" t="s">
        <v>2837</v>
      </c>
      <c r="F121" s="1745" t="s">
        <v>2621</v>
      </c>
      <c r="G121" s="1745" t="s">
        <v>15</v>
      </c>
      <c r="H121" s="1745" t="s">
        <v>15</v>
      </c>
      <c r="I121" s="1745" t="s">
        <v>1016</v>
      </c>
    </row>
    <row r="122" spans="1:9" ht="11.25" customHeight="1">
      <c r="A122" s="1745" t="s">
        <v>2444</v>
      </c>
      <c r="B122" s="1745" t="s">
        <v>3</v>
      </c>
      <c r="C122" s="1745" t="s">
        <v>2838</v>
      </c>
      <c r="D122" s="1745" t="s">
        <v>2839</v>
      </c>
      <c r="E122" s="1745" t="s">
        <v>2840</v>
      </c>
      <c r="F122" s="1745" t="s">
        <v>2621</v>
      </c>
      <c r="G122" s="1745" t="s">
        <v>15</v>
      </c>
      <c r="H122" s="1745" t="s">
        <v>15</v>
      </c>
      <c r="I122" s="1745" t="s">
        <v>1016</v>
      </c>
    </row>
    <row r="123" spans="1:9" ht="11.25" customHeight="1">
      <c r="A123" s="1745" t="s">
        <v>2444</v>
      </c>
      <c r="B123" s="1745" t="s">
        <v>3</v>
      </c>
      <c r="C123" s="1745" t="s">
        <v>2841</v>
      </c>
      <c r="D123" s="1745" t="s">
        <v>2842</v>
      </c>
      <c r="E123" s="1745" t="s">
        <v>2843</v>
      </c>
      <c r="F123" s="1745" t="s">
        <v>2844</v>
      </c>
      <c r="G123" s="1745" t="s">
        <v>15</v>
      </c>
      <c r="H123" s="1745" t="s">
        <v>15</v>
      </c>
      <c r="I123" s="1745" t="s">
        <v>1016</v>
      </c>
    </row>
    <row r="124" spans="1:9" ht="11.25" customHeight="1">
      <c r="A124" s="1745" t="s">
        <v>2444</v>
      </c>
      <c r="B124" s="1745" t="s">
        <v>3</v>
      </c>
      <c r="C124" s="1745" t="s">
        <v>2845</v>
      </c>
      <c r="D124" s="1745" t="s">
        <v>2846</v>
      </c>
      <c r="E124" s="1745" t="s">
        <v>2847</v>
      </c>
      <c r="F124" s="1745" t="s">
        <v>2632</v>
      </c>
      <c r="G124" s="1745" t="s">
        <v>15</v>
      </c>
      <c r="H124" s="1745" t="s">
        <v>15</v>
      </c>
      <c r="I124" s="1745" t="s">
        <v>1016</v>
      </c>
    </row>
    <row r="125" spans="1:9" ht="11.25" customHeight="1">
      <c r="A125" s="1745" t="s">
        <v>2444</v>
      </c>
      <c r="B125" s="1745" t="s">
        <v>3</v>
      </c>
      <c r="C125" s="1745" t="s">
        <v>2848</v>
      </c>
      <c r="D125" s="1745" t="s">
        <v>2849</v>
      </c>
      <c r="E125" s="1745" t="s">
        <v>2850</v>
      </c>
      <c r="F125" s="1745" t="s">
        <v>2632</v>
      </c>
      <c r="G125" s="1745" t="s">
        <v>2851</v>
      </c>
      <c r="H125" s="1745" t="s">
        <v>15</v>
      </c>
      <c r="I125" s="1745" t="s">
        <v>1016</v>
      </c>
    </row>
    <row r="126" spans="1:9" ht="11.25" customHeight="1">
      <c r="A126" s="1745" t="s">
        <v>2444</v>
      </c>
      <c r="B126" s="1745" t="s">
        <v>3</v>
      </c>
      <c r="C126" s="1745" t="s">
        <v>2852</v>
      </c>
      <c r="D126" s="1745" t="s">
        <v>2853</v>
      </c>
      <c r="E126" s="1745" t="s">
        <v>2854</v>
      </c>
      <c r="F126" s="1745" t="s">
        <v>2480</v>
      </c>
      <c r="G126" s="1745" t="s">
        <v>15</v>
      </c>
      <c r="H126" s="1745" t="s">
        <v>15</v>
      </c>
      <c r="I126" s="1745" t="s">
        <v>1016</v>
      </c>
    </row>
    <row r="127" spans="1:9" ht="11.25" customHeight="1">
      <c r="A127" s="1745" t="s">
        <v>2444</v>
      </c>
      <c r="B127" s="1745" t="s">
        <v>3</v>
      </c>
      <c r="C127" s="1745" t="s">
        <v>2855</v>
      </c>
      <c r="D127" s="1745" t="s">
        <v>2856</v>
      </c>
      <c r="E127" s="1745" t="s">
        <v>2857</v>
      </c>
      <c r="F127" s="1745" t="s">
        <v>38</v>
      </c>
      <c r="G127" s="1745" t="s">
        <v>15</v>
      </c>
      <c r="H127" s="1745" t="s">
        <v>15</v>
      </c>
      <c r="I127" s="1745" t="s">
        <v>1016</v>
      </c>
    </row>
    <row r="128" spans="1:9" ht="11.25" customHeight="1">
      <c r="A128" s="1745" t="s">
        <v>2444</v>
      </c>
      <c r="B128" s="1745" t="s">
        <v>3</v>
      </c>
      <c r="C128" s="1745" t="s">
        <v>2858</v>
      </c>
      <c r="D128" s="1745" t="s">
        <v>2859</v>
      </c>
      <c r="E128" s="1745" t="s">
        <v>2860</v>
      </c>
      <c r="F128" s="1745" t="s">
        <v>2491</v>
      </c>
      <c r="G128" s="1745" t="s">
        <v>15</v>
      </c>
      <c r="H128" s="1745" t="s">
        <v>15</v>
      </c>
      <c r="I128" s="1745" t="s">
        <v>1016</v>
      </c>
    </row>
    <row r="129" spans="1:9" ht="11.25" customHeight="1">
      <c r="A129" s="1745" t="s">
        <v>2444</v>
      </c>
      <c r="B129" s="1745" t="s">
        <v>3</v>
      </c>
      <c r="C129" s="1745" t="s">
        <v>2861</v>
      </c>
      <c r="D129" s="1745" t="s">
        <v>2862</v>
      </c>
      <c r="E129" s="1745" t="s">
        <v>2863</v>
      </c>
      <c r="F129" s="1745" t="s">
        <v>2504</v>
      </c>
      <c r="G129" s="1745" t="s">
        <v>15</v>
      </c>
      <c r="H129" s="1745" t="s">
        <v>15</v>
      </c>
      <c r="I129" s="1745" t="s">
        <v>1016</v>
      </c>
    </row>
    <row r="130" spans="1:9" ht="11.25" customHeight="1">
      <c r="A130" s="1745" t="s">
        <v>2444</v>
      </c>
      <c r="B130" s="1745" t="s">
        <v>3</v>
      </c>
      <c r="C130" s="1745" t="s">
        <v>2864</v>
      </c>
      <c r="D130" s="1745" t="s">
        <v>2865</v>
      </c>
      <c r="E130" s="1745" t="s">
        <v>2866</v>
      </c>
      <c r="F130" s="1745" t="s">
        <v>2867</v>
      </c>
      <c r="G130" s="1745" t="s">
        <v>15</v>
      </c>
      <c r="H130" s="1745" t="s">
        <v>15</v>
      </c>
      <c r="I130" s="1745" t="s">
        <v>1016</v>
      </c>
    </row>
    <row r="131" spans="1:9" ht="11.25" customHeight="1">
      <c r="A131" s="1745" t="s">
        <v>2444</v>
      </c>
      <c r="B131" s="1745" t="s">
        <v>3</v>
      </c>
      <c r="C131" s="1745" t="s">
        <v>2868</v>
      </c>
      <c r="D131" s="1745" t="s">
        <v>2869</v>
      </c>
      <c r="E131" s="1745" t="s">
        <v>2870</v>
      </c>
      <c r="F131" s="1745" t="s">
        <v>2632</v>
      </c>
      <c r="G131" s="1745" t="s">
        <v>15</v>
      </c>
      <c r="H131" s="1745" t="s">
        <v>15</v>
      </c>
      <c r="I131" s="1745" t="s">
        <v>1016</v>
      </c>
    </row>
    <row r="132" spans="1:9" ht="11.25" customHeight="1">
      <c r="A132" s="1745" t="s">
        <v>2444</v>
      </c>
      <c r="B132" s="1745" t="s">
        <v>3</v>
      </c>
      <c r="C132" s="1745" t="s">
        <v>2871</v>
      </c>
      <c r="D132" s="1745" t="s">
        <v>2872</v>
      </c>
      <c r="E132" s="1745" t="s">
        <v>2873</v>
      </c>
      <c r="F132" s="1745" t="s">
        <v>2632</v>
      </c>
      <c r="G132" s="1745" t="s">
        <v>15</v>
      </c>
      <c r="H132" s="1745" t="s">
        <v>15</v>
      </c>
      <c r="I132" s="1745" t="s">
        <v>1016</v>
      </c>
    </row>
    <row r="133" spans="1:9" ht="11.25" customHeight="1">
      <c r="A133" s="1745" t="s">
        <v>2444</v>
      </c>
      <c r="B133" s="1745" t="s">
        <v>3</v>
      </c>
      <c r="C133" s="1745" t="s">
        <v>2874</v>
      </c>
      <c r="D133" s="1745" t="s">
        <v>2875</v>
      </c>
      <c r="E133" s="1745" t="s">
        <v>2876</v>
      </c>
      <c r="F133" s="1745" t="s">
        <v>2562</v>
      </c>
      <c r="G133" s="1745" t="s">
        <v>15</v>
      </c>
      <c r="H133" s="1745" t="s">
        <v>15</v>
      </c>
      <c r="I133" s="1745" t="s">
        <v>1016</v>
      </c>
    </row>
    <row r="134" spans="1:9" ht="11.25" customHeight="1">
      <c r="A134" s="1745" t="s">
        <v>2444</v>
      </c>
      <c r="B134" s="1745" t="s">
        <v>3</v>
      </c>
      <c r="C134" s="1745" t="s">
        <v>2877</v>
      </c>
      <c r="D134" s="1745" t="s">
        <v>2878</v>
      </c>
      <c r="E134" s="1745" t="s">
        <v>2879</v>
      </c>
      <c r="F134" s="1745" t="s">
        <v>2562</v>
      </c>
      <c r="G134" s="1745" t="s">
        <v>15</v>
      </c>
      <c r="H134" s="1745" t="s">
        <v>15</v>
      </c>
      <c r="I134" s="1745" t="s">
        <v>1016</v>
      </c>
    </row>
    <row r="135" spans="1:9" ht="11.25" customHeight="1">
      <c r="A135" s="1745" t="s">
        <v>2444</v>
      </c>
      <c r="B135" s="1745" t="s">
        <v>3</v>
      </c>
      <c r="C135" s="1745" t="s">
        <v>2880</v>
      </c>
      <c r="D135" s="1745" t="s">
        <v>2881</v>
      </c>
      <c r="E135" s="1745" t="s">
        <v>2882</v>
      </c>
      <c r="F135" s="1745" t="s">
        <v>2673</v>
      </c>
      <c r="G135" s="1745" t="s">
        <v>2883</v>
      </c>
      <c r="H135" s="1745" t="s">
        <v>15</v>
      </c>
      <c r="I135" s="1745" t="s">
        <v>1016</v>
      </c>
    </row>
    <row r="136" spans="1:9" ht="11.25" customHeight="1">
      <c r="A136" s="1745" t="s">
        <v>2444</v>
      </c>
      <c r="B136" s="1745" t="s">
        <v>3</v>
      </c>
      <c r="C136" s="1745" t="s">
        <v>2884</v>
      </c>
      <c r="D136" s="1745" t="s">
        <v>2885</v>
      </c>
      <c r="E136" s="1745" t="s">
        <v>2886</v>
      </c>
      <c r="F136" s="1745" t="s">
        <v>2887</v>
      </c>
      <c r="G136" s="1745" t="s">
        <v>15</v>
      </c>
      <c r="H136" s="1745" t="s">
        <v>15</v>
      </c>
      <c r="I136" s="1745" t="s">
        <v>1016</v>
      </c>
    </row>
    <row r="137" spans="1:9" ht="11.25" customHeight="1">
      <c r="A137" s="1745" t="s">
        <v>2444</v>
      </c>
      <c r="B137" s="1745" t="s">
        <v>3</v>
      </c>
      <c r="C137" s="1745" t="s">
        <v>2888</v>
      </c>
      <c r="D137" s="1745" t="s">
        <v>2889</v>
      </c>
      <c r="E137" s="1745" t="s">
        <v>2890</v>
      </c>
      <c r="F137" s="1745" t="s">
        <v>2891</v>
      </c>
      <c r="G137" s="1745" t="s">
        <v>15</v>
      </c>
      <c r="H137" s="1745" t="s">
        <v>15</v>
      </c>
      <c r="I137" s="1745" t="s">
        <v>1016</v>
      </c>
    </row>
    <row r="138" spans="1:9" ht="11.25" customHeight="1">
      <c r="A138" s="1745" t="s">
        <v>2444</v>
      </c>
      <c r="B138" s="1745" t="s">
        <v>3</v>
      </c>
      <c r="C138" s="1745" t="s">
        <v>2892</v>
      </c>
      <c r="D138" s="1745" t="s">
        <v>2893</v>
      </c>
      <c r="E138" s="1745" t="s">
        <v>2668</v>
      </c>
      <c r="F138" s="1745" t="s">
        <v>2894</v>
      </c>
      <c r="G138" s="1745" t="s">
        <v>15</v>
      </c>
      <c r="H138" s="1745" t="s">
        <v>15</v>
      </c>
      <c r="I138" s="1745" t="s">
        <v>1016</v>
      </c>
    </row>
    <row r="139" spans="1:9" ht="11.25" customHeight="1">
      <c r="A139" s="1745" t="s">
        <v>2444</v>
      </c>
      <c r="B139" s="1745" t="s">
        <v>3</v>
      </c>
      <c r="C139" s="1745" t="s">
        <v>2895</v>
      </c>
      <c r="D139" s="1745" t="s">
        <v>2896</v>
      </c>
      <c r="E139" s="1745" t="s">
        <v>2897</v>
      </c>
      <c r="F139" s="1745" t="s">
        <v>2466</v>
      </c>
      <c r="G139" s="1745" t="s">
        <v>15</v>
      </c>
      <c r="H139" s="1745" t="s">
        <v>15</v>
      </c>
      <c r="I139" s="1745" t="s">
        <v>1016</v>
      </c>
    </row>
    <row r="140" spans="1:9" ht="11.25" customHeight="1">
      <c r="A140" s="1745" t="s">
        <v>2444</v>
      </c>
      <c r="B140" s="1745" t="s">
        <v>3</v>
      </c>
      <c r="C140" s="1745" t="s">
        <v>2898</v>
      </c>
      <c r="D140" s="1745" t="s">
        <v>2899</v>
      </c>
      <c r="E140" s="1745" t="s">
        <v>2900</v>
      </c>
      <c r="F140" s="1745" t="s">
        <v>2551</v>
      </c>
      <c r="G140" s="1745" t="s">
        <v>15</v>
      </c>
      <c r="H140" s="1745" t="s">
        <v>15</v>
      </c>
      <c r="I140" s="1745" t="s">
        <v>1016</v>
      </c>
    </row>
    <row r="141" spans="1:9" ht="11.25" customHeight="1">
      <c r="A141" s="1745" t="s">
        <v>2444</v>
      </c>
      <c r="B141" s="1745" t="s">
        <v>3</v>
      </c>
      <c r="C141" s="1745" t="s">
        <v>2901</v>
      </c>
      <c r="D141" s="1745" t="s">
        <v>2902</v>
      </c>
      <c r="E141" s="1745" t="s">
        <v>2903</v>
      </c>
      <c r="F141" s="1745" t="s">
        <v>2504</v>
      </c>
      <c r="G141" s="1745" t="s">
        <v>15</v>
      </c>
      <c r="H141" s="1745" t="s">
        <v>15</v>
      </c>
      <c r="I141" s="1745" t="s">
        <v>1016</v>
      </c>
    </row>
    <row r="142" spans="1:9" ht="11.25" customHeight="1">
      <c r="A142" s="1745" t="s">
        <v>2444</v>
      </c>
      <c r="B142" s="1745" t="s">
        <v>3</v>
      </c>
      <c r="C142" s="1745" t="s">
        <v>2904</v>
      </c>
      <c r="D142" s="1745" t="s">
        <v>2905</v>
      </c>
      <c r="E142" s="1745" t="s">
        <v>2668</v>
      </c>
      <c r="F142" s="1745" t="s">
        <v>2906</v>
      </c>
      <c r="G142" s="1745" t="s">
        <v>15</v>
      </c>
      <c r="H142" s="1745" t="s">
        <v>15</v>
      </c>
      <c r="I142" s="1745" t="s">
        <v>1016</v>
      </c>
    </row>
    <row r="143" spans="1:9" ht="11.25" customHeight="1">
      <c r="A143" s="1745" t="s">
        <v>2444</v>
      </c>
      <c r="B143" s="1745" t="s">
        <v>3</v>
      </c>
      <c r="C143" s="1745" t="s">
        <v>2907</v>
      </c>
      <c r="D143" s="1745" t="s">
        <v>2908</v>
      </c>
      <c r="E143" s="1745" t="s">
        <v>2909</v>
      </c>
      <c r="F143" s="1745" t="s">
        <v>2632</v>
      </c>
      <c r="G143" s="1745" t="s">
        <v>15</v>
      </c>
      <c r="H143" s="1745" t="s">
        <v>15</v>
      </c>
      <c r="I143" s="1745" t="s">
        <v>1016</v>
      </c>
    </row>
    <row r="144" spans="1:9" ht="11.25" customHeight="1">
      <c r="A144" s="1745" t="s">
        <v>2444</v>
      </c>
      <c r="B144" s="1745" t="s">
        <v>3</v>
      </c>
      <c r="C144" s="1745" t="s">
        <v>2910</v>
      </c>
      <c r="D144" s="1745" t="s">
        <v>2911</v>
      </c>
      <c r="E144" s="1745" t="s">
        <v>2912</v>
      </c>
      <c r="F144" s="1745" t="s">
        <v>2480</v>
      </c>
      <c r="G144" s="1745" t="s">
        <v>15</v>
      </c>
      <c r="H144" s="1745" t="s">
        <v>15</v>
      </c>
      <c r="I144" s="1745" t="s">
        <v>1016</v>
      </c>
    </row>
    <row r="145" spans="1:9" ht="11.25" customHeight="1">
      <c r="A145" s="1745" t="s">
        <v>2444</v>
      </c>
      <c r="B145" s="1745" t="s">
        <v>3</v>
      </c>
      <c r="C145" s="1745" t="s">
        <v>2913</v>
      </c>
      <c r="D145" s="1745" t="s">
        <v>2914</v>
      </c>
      <c r="E145" s="1745" t="s">
        <v>2915</v>
      </c>
      <c r="F145" s="1745" t="s">
        <v>2916</v>
      </c>
      <c r="G145" s="1745" t="s">
        <v>15</v>
      </c>
      <c r="H145" s="1745" t="s">
        <v>15</v>
      </c>
      <c r="I145" s="1745" t="s">
        <v>1016</v>
      </c>
    </row>
    <row r="146" spans="1:9" ht="11.25" customHeight="1">
      <c r="A146" s="1745" t="s">
        <v>2444</v>
      </c>
      <c r="B146" s="1745" t="s">
        <v>3</v>
      </c>
      <c r="C146" s="1745" t="s">
        <v>2917</v>
      </c>
      <c r="D146" s="1745" t="s">
        <v>2918</v>
      </c>
      <c r="E146" s="1745" t="s">
        <v>2919</v>
      </c>
      <c r="F146" s="1745" t="s">
        <v>2920</v>
      </c>
      <c r="G146" s="1745" t="s">
        <v>15</v>
      </c>
      <c r="H146" s="1745" t="s">
        <v>15</v>
      </c>
      <c r="I146" s="1745" t="s">
        <v>1016</v>
      </c>
    </row>
    <row r="147" spans="1:9" ht="11.25" customHeight="1">
      <c r="A147" s="1745" t="s">
        <v>2444</v>
      </c>
      <c r="B147" s="1745" t="s">
        <v>3</v>
      </c>
      <c r="C147" s="1745" t="s">
        <v>2921</v>
      </c>
      <c r="D147" s="1745" t="s">
        <v>2922</v>
      </c>
      <c r="E147" s="1745" t="s">
        <v>2923</v>
      </c>
      <c r="F147" s="1745" t="s">
        <v>2673</v>
      </c>
      <c r="G147" s="1745" t="s">
        <v>15</v>
      </c>
      <c r="H147" s="1745" t="s">
        <v>15</v>
      </c>
      <c r="I147" s="1745" t="s">
        <v>1016</v>
      </c>
    </row>
    <row r="148" spans="1:9" ht="11.25" customHeight="1">
      <c r="A148" s="1745" t="s">
        <v>2444</v>
      </c>
      <c r="B148" s="1745" t="s">
        <v>3</v>
      </c>
      <c r="C148" s="1745" t="s">
        <v>2924</v>
      </c>
      <c r="D148" s="1745" t="s">
        <v>2925</v>
      </c>
      <c r="E148" s="1745" t="s">
        <v>2926</v>
      </c>
      <c r="F148" s="1745" t="s">
        <v>2673</v>
      </c>
      <c r="G148" s="1745" t="s">
        <v>15</v>
      </c>
      <c r="H148" s="1745" t="s">
        <v>15</v>
      </c>
      <c r="I148" s="1745" t="s">
        <v>1016</v>
      </c>
    </row>
    <row r="149" spans="1:9" ht="11.25" customHeight="1">
      <c r="A149" s="1745" t="s">
        <v>2444</v>
      </c>
      <c r="B149" s="1745" t="s">
        <v>3</v>
      </c>
      <c r="C149" s="1745" t="s">
        <v>2927</v>
      </c>
      <c r="D149" s="1745" t="s">
        <v>2928</v>
      </c>
      <c r="E149" s="1745" t="s">
        <v>2929</v>
      </c>
      <c r="F149" s="1745" t="s">
        <v>2466</v>
      </c>
      <c r="G149" s="1745" t="s">
        <v>15</v>
      </c>
      <c r="H149" s="1745" t="s">
        <v>15</v>
      </c>
      <c r="I149" s="1745" t="s">
        <v>1016</v>
      </c>
    </row>
    <row r="150" spans="1:9" ht="11.25" customHeight="1">
      <c r="A150" s="1745" t="s">
        <v>2444</v>
      </c>
      <c r="B150" s="1745" t="s">
        <v>3</v>
      </c>
      <c r="C150" s="1745" t="s">
        <v>2930</v>
      </c>
      <c r="D150" s="1745" t="s">
        <v>2931</v>
      </c>
      <c r="E150" s="1745" t="s">
        <v>2932</v>
      </c>
      <c r="F150" s="1745" t="s">
        <v>2933</v>
      </c>
      <c r="G150" s="1745" t="s">
        <v>15</v>
      </c>
      <c r="H150" s="1745" t="s">
        <v>15</v>
      </c>
      <c r="I150" s="1745" t="s">
        <v>1016</v>
      </c>
    </row>
    <row r="151" spans="1:9" ht="11.25" customHeight="1">
      <c r="A151" s="1745" t="s">
        <v>2444</v>
      </c>
      <c r="B151" s="1745" t="s">
        <v>3</v>
      </c>
      <c r="C151" s="1745" t="s">
        <v>2934</v>
      </c>
      <c r="D151" s="1745" t="s">
        <v>2935</v>
      </c>
      <c r="E151" s="1745" t="s">
        <v>2936</v>
      </c>
      <c r="F151" s="1745" t="s">
        <v>2891</v>
      </c>
      <c r="G151" s="1745" t="s">
        <v>15</v>
      </c>
      <c r="H151" s="1745" t="s">
        <v>15</v>
      </c>
      <c r="I151" s="1745" t="s">
        <v>1016</v>
      </c>
    </row>
    <row r="152" spans="1:9" ht="11.25" customHeight="1">
      <c r="A152" s="1745" t="s">
        <v>2444</v>
      </c>
      <c r="B152" s="1745" t="s">
        <v>3</v>
      </c>
      <c r="C152" s="1745" t="s">
        <v>2937</v>
      </c>
      <c r="D152" s="1745" t="s">
        <v>2938</v>
      </c>
      <c r="E152" s="1745" t="s">
        <v>2939</v>
      </c>
      <c r="F152" s="1745" t="s">
        <v>2940</v>
      </c>
      <c r="G152" s="1745" t="s">
        <v>15</v>
      </c>
      <c r="H152" s="1745" t="s">
        <v>15</v>
      </c>
      <c r="I152" s="1745" t="s">
        <v>1016</v>
      </c>
    </row>
    <row r="153" spans="1:9" ht="11.25" customHeight="1">
      <c r="A153" s="1745" t="s">
        <v>2444</v>
      </c>
      <c r="B153" s="1745" t="s">
        <v>3</v>
      </c>
      <c r="C153" s="1745" t="s">
        <v>2941</v>
      </c>
      <c r="D153" s="1745" t="s">
        <v>2942</v>
      </c>
      <c r="E153" s="1745" t="s">
        <v>2909</v>
      </c>
      <c r="F153" s="1745" t="s">
        <v>2943</v>
      </c>
      <c r="G153" s="1745" t="s">
        <v>15</v>
      </c>
      <c r="H153" s="1745" t="s">
        <v>15</v>
      </c>
      <c r="I153" s="1745" t="s">
        <v>1016</v>
      </c>
    </row>
    <row r="154" spans="1:9" ht="11.25" customHeight="1">
      <c r="A154" s="1745" t="s">
        <v>2444</v>
      </c>
      <c r="B154" s="1745" t="s">
        <v>3</v>
      </c>
      <c r="C154" s="1745" t="s">
        <v>2944</v>
      </c>
      <c r="D154" s="1745" t="s">
        <v>2945</v>
      </c>
      <c r="E154" s="1745" t="s">
        <v>2909</v>
      </c>
      <c r="F154" s="1745" t="s">
        <v>2946</v>
      </c>
      <c r="G154" s="1745" t="s">
        <v>15</v>
      </c>
      <c r="H154" s="1745" t="s">
        <v>15</v>
      </c>
      <c r="I154" s="1745" t="s">
        <v>1016</v>
      </c>
    </row>
    <row r="155" spans="1:9" ht="11.25" customHeight="1">
      <c r="A155" s="1745" t="s">
        <v>2444</v>
      </c>
      <c r="B155" s="1745" t="s">
        <v>3</v>
      </c>
      <c r="C155" s="1745" t="s">
        <v>2445</v>
      </c>
      <c r="D155" s="1745" t="s">
        <v>2446</v>
      </c>
      <c r="E155" s="1745" t="s">
        <v>2447</v>
      </c>
      <c r="F155" s="1745" t="s">
        <v>2448</v>
      </c>
      <c r="G155" s="1745" t="s">
        <v>15</v>
      </c>
      <c r="H155" s="1745" t="s">
        <v>15</v>
      </c>
      <c r="I155" s="1745" t="s">
        <v>1102</v>
      </c>
    </row>
    <row r="156" spans="1:9" ht="11.25" customHeight="1">
      <c r="A156" s="1745" t="s">
        <v>2444</v>
      </c>
      <c r="B156" s="1745" t="s">
        <v>3</v>
      </c>
      <c r="C156" s="1745" t="s">
        <v>2449</v>
      </c>
      <c r="D156" s="1745" t="s">
        <v>2446</v>
      </c>
      <c r="E156" s="1745" t="s">
        <v>2447</v>
      </c>
      <c r="F156" s="1745" t="s">
        <v>2450</v>
      </c>
      <c r="G156" s="1745" t="s">
        <v>15</v>
      </c>
      <c r="H156" s="1745" t="s">
        <v>15</v>
      </c>
      <c r="I156" s="1745" t="s">
        <v>1102</v>
      </c>
    </row>
    <row r="157" spans="1:9" ht="11.25" customHeight="1">
      <c r="A157" s="1745" t="s">
        <v>2444</v>
      </c>
      <c r="B157" s="1745" t="s">
        <v>3</v>
      </c>
      <c r="C157" s="1745" t="s">
        <v>2470</v>
      </c>
      <c r="D157" s="1745" t="s">
        <v>2471</v>
      </c>
      <c r="E157" s="1745" t="s">
        <v>2472</v>
      </c>
      <c r="F157" s="1745" t="s">
        <v>2450</v>
      </c>
      <c r="G157" s="1745" t="s">
        <v>15</v>
      </c>
      <c r="H157" s="1745" t="s">
        <v>15</v>
      </c>
      <c r="I157" s="1745" t="s">
        <v>1102</v>
      </c>
    </row>
    <row r="158" spans="1:9" ht="11.25" customHeight="1">
      <c r="A158" s="1745" t="s">
        <v>2444</v>
      </c>
      <c r="B158" s="1745" t="s">
        <v>3</v>
      </c>
      <c r="C158" s="1745" t="s">
        <v>2473</v>
      </c>
      <c r="D158" s="1745" t="s">
        <v>2474</v>
      </c>
      <c r="E158" s="1745" t="s">
        <v>2475</v>
      </c>
      <c r="F158" s="1745" t="s">
        <v>2476</v>
      </c>
      <c r="G158" s="1745" t="s">
        <v>15</v>
      </c>
      <c r="H158" s="1745" t="s">
        <v>15</v>
      </c>
      <c r="I158" s="1745" t="s">
        <v>1102</v>
      </c>
    </row>
    <row r="159" spans="1:9" ht="11.25" customHeight="1">
      <c r="A159" s="1745" t="s">
        <v>2444</v>
      </c>
      <c r="B159" s="1745" t="s">
        <v>3</v>
      </c>
      <c r="C159" s="1745" t="s">
        <v>2477</v>
      </c>
      <c r="D159" s="1745" t="s">
        <v>2478</v>
      </c>
      <c r="E159" s="1745" t="s">
        <v>2479</v>
      </c>
      <c r="F159" s="1745" t="s">
        <v>2480</v>
      </c>
      <c r="G159" s="1745" t="s">
        <v>15</v>
      </c>
      <c r="H159" s="1745" t="s">
        <v>15</v>
      </c>
      <c r="I159" s="1745" t="s">
        <v>1102</v>
      </c>
    </row>
    <row r="160" spans="1:9" ht="11.25" customHeight="1">
      <c r="A160" s="1745" t="s">
        <v>2444</v>
      </c>
      <c r="B160" s="1745" t="s">
        <v>3</v>
      </c>
      <c r="C160" s="1745" t="s">
        <v>2488</v>
      </c>
      <c r="D160" s="1745" t="s">
        <v>2489</v>
      </c>
      <c r="E160" s="1745" t="s">
        <v>2490</v>
      </c>
      <c r="F160" s="1745" t="s">
        <v>2491</v>
      </c>
      <c r="G160" s="1745" t="s">
        <v>2492</v>
      </c>
      <c r="H160" s="1745" t="s">
        <v>15</v>
      </c>
      <c r="I160" s="1745" t="s">
        <v>1102</v>
      </c>
    </row>
    <row r="161" spans="1:9" ht="11.25" customHeight="1">
      <c r="A161" s="1745" t="s">
        <v>2444</v>
      </c>
      <c r="B161" s="1745" t="s">
        <v>3</v>
      </c>
      <c r="C161" s="1745" t="s">
        <v>2493</v>
      </c>
      <c r="D161" s="1745" t="s">
        <v>2494</v>
      </c>
      <c r="E161" s="1745" t="s">
        <v>2495</v>
      </c>
      <c r="F161" s="1745" t="s">
        <v>2496</v>
      </c>
      <c r="G161" s="1745" t="s">
        <v>15</v>
      </c>
      <c r="H161" s="1745" t="s">
        <v>15</v>
      </c>
      <c r="I161" s="1745" t="s">
        <v>1102</v>
      </c>
    </row>
    <row r="162" spans="1:9" ht="11.25" customHeight="1">
      <c r="A162" s="1745" t="s">
        <v>2444</v>
      </c>
      <c r="B162" s="1745" t="s">
        <v>3</v>
      </c>
      <c r="C162" s="1745" t="s">
        <v>2501</v>
      </c>
      <c r="D162" s="1745" t="s">
        <v>2502</v>
      </c>
      <c r="E162" s="1745" t="s">
        <v>2503</v>
      </c>
      <c r="F162" s="1745" t="s">
        <v>2504</v>
      </c>
      <c r="G162" s="1745" t="s">
        <v>15</v>
      </c>
      <c r="H162" s="1745" t="s">
        <v>15</v>
      </c>
      <c r="I162" s="1745" t="s">
        <v>1102</v>
      </c>
    </row>
    <row r="163" spans="1:9" ht="11.25" customHeight="1">
      <c r="A163" s="1745" t="s">
        <v>2444</v>
      </c>
      <c r="B163" s="1745" t="s">
        <v>3</v>
      </c>
      <c r="C163" s="1745" t="s">
        <v>2509</v>
      </c>
      <c r="D163" s="1745" t="s">
        <v>2510</v>
      </c>
      <c r="E163" s="1745" t="s">
        <v>2511</v>
      </c>
      <c r="F163" s="1745" t="s">
        <v>38</v>
      </c>
      <c r="G163" s="1745" t="s">
        <v>15</v>
      </c>
      <c r="H163" s="1745" t="s">
        <v>15</v>
      </c>
      <c r="I163" s="1745" t="s">
        <v>1102</v>
      </c>
    </row>
    <row r="164" spans="1:9" ht="11.25" customHeight="1">
      <c r="A164" s="1745" t="s">
        <v>2444</v>
      </c>
      <c r="B164" s="1745" t="s">
        <v>3</v>
      </c>
      <c r="C164" s="1745" t="s">
        <v>15</v>
      </c>
      <c r="D164" s="1745" t="s">
        <v>2546</v>
      </c>
      <c r="E164" s="1745" t="s">
        <v>2547</v>
      </c>
      <c r="F164" s="1745" t="s">
        <v>2491</v>
      </c>
      <c r="G164" s="1745" t="s">
        <v>15</v>
      </c>
      <c r="H164" s="1745" t="s">
        <v>15</v>
      </c>
      <c r="I164" s="1745" t="s">
        <v>1102</v>
      </c>
    </row>
    <row r="165" spans="1:9" ht="11.25" customHeight="1">
      <c r="A165" s="1745" t="s">
        <v>2444</v>
      </c>
      <c r="B165" s="1745" t="s">
        <v>3</v>
      </c>
      <c r="C165" s="1745" t="s">
        <v>2574</v>
      </c>
      <c r="D165" s="1745" t="s">
        <v>2575</v>
      </c>
      <c r="E165" s="1745" t="s">
        <v>2576</v>
      </c>
      <c r="F165" s="1745" t="s">
        <v>2466</v>
      </c>
      <c r="G165" s="1745" t="s">
        <v>15</v>
      </c>
      <c r="H165" s="1745" t="s">
        <v>15</v>
      </c>
      <c r="I165" s="1745" t="s">
        <v>1102</v>
      </c>
    </row>
    <row r="166" spans="1:9" ht="11.25" customHeight="1">
      <c r="A166" s="1745" t="s">
        <v>2444</v>
      </c>
      <c r="B166" s="1745" t="s">
        <v>3</v>
      </c>
      <c r="C166" s="1745" t="s">
        <v>2577</v>
      </c>
      <c r="D166" s="1745" t="s">
        <v>2578</v>
      </c>
      <c r="E166" s="1745" t="s">
        <v>2579</v>
      </c>
      <c r="F166" s="1745" t="s">
        <v>2580</v>
      </c>
      <c r="G166" s="1745" t="s">
        <v>2581</v>
      </c>
      <c r="H166" s="1745" t="s">
        <v>15</v>
      </c>
      <c r="I166" s="1745" t="s">
        <v>1102</v>
      </c>
    </row>
    <row r="167" spans="1:9" ht="11.25" customHeight="1">
      <c r="A167" s="1745" t="s">
        <v>2444</v>
      </c>
      <c r="B167" s="1745" t="s">
        <v>3</v>
      </c>
      <c r="C167" s="1745" t="s">
        <v>2591</v>
      </c>
      <c r="D167" s="1745" t="s">
        <v>2588</v>
      </c>
      <c r="E167" s="1745" t="s">
        <v>2592</v>
      </c>
      <c r="F167" s="1745" t="s">
        <v>2593</v>
      </c>
      <c r="G167" s="1745" t="s">
        <v>15</v>
      </c>
      <c r="H167" s="1745" t="s">
        <v>15</v>
      </c>
      <c r="I167" s="1745" t="s">
        <v>1102</v>
      </c>
    </row>
    <row r="168" spans="1:9" ht="11.25" customHeight="1">
      <c r="A168" s="1745" t="s">
        <v>2444</v>
      </c>
      <c r="B168" s="1745" t="s">
        <v>3</v>
      </c>
      <c r="C168" s="1745" t="s">
        <v>2599</v>
      </c>
      <c r="D168" s="1745" t="s">
        <v>2600</v>
      </c>
      <c r="E168" s="1745" t="s">
        <v>2601</v>
      </c>
      <c r="F168" s="1745" t="s">
        <v>2500</v>
      </c>
      <c r="G168" s="1745" t="s">
        <v>15</v>
      </c>
      <c r="H168" s="1745" t="s">
        <v>15</v>
      </c>
      <c r="I168" s="1745" t="s">
        <v>1102</v>
      </c>
    </row>
    <row r="169" spans="1:9" ht="11.25" customHeight="1">
      <c r="A169" s="1745" t="s">
        <v>2444</v>
      </c>
      <c r="B169" s="1745" t="s">
        <v>3</v>
      </c>
      <c r="C169" s="1745" t="s">
        <v>2602</v>
      </c>
      <c r="D169" s="1745" t="s">
        <v>2603</v>
      </c>
      <c r="E169" s="1745" t="s">
        <v>2604</v>
      </c>
      <c r="F169" s="1745" t="s">
        <v>2466</v>
      </c>
      <c r="G169" s="1745" t="s">
        <v>15</v>
      </c>
      <c r="H169" s="1745" t="s">
        <v>15</v>
      </c>
      <c r="I169" s="1745" t="s">
        <v>1102</v>
      </c>
    </row>
    <row r="170" spans="1:9" ht="11.25" customHeight="1">
      <c r="A170" s="1745" t="s">
        <v>2444</v>
      </c>
      <c r="B170" s="1745" t="s">
        <v>3</v>
      </c>
      <c r="C170" s="1745" t="s">
        <v>2608</v>
      </c>
      <c r="D170" s="1745" t="s">
        <v>2609</v>
      </c>
      <c r="E170" s="1745" t="s">
        <v>2610</v>
      </c>
      <c r="F170" s="1745" t="s">
        <v>2466</v>
      </c>
      <c r="G170" s="1745" t="s">
        <v>2611</v>
      </c>
      <c r="H170" s="1745" t="s">
        <v>15</v>
      </c>
      <c r="I170" s="1745" t="s">
        <v>1102</v>
      </c>
    </row>
    <row r="171" spans="1:9" ht="11.25" customHeight="1">
      <c r="A171" s="1745" t="s">
        <v>2444</v>
      </c>
      <c r="B171" s="1745" t="s">
        <v>3</v>
      </c>
      <c r="C171" s="1745" t="s">
        <v>2615</v>
      </c>
      <c r="D171" s="1745" t="s">
        <v>2616</v>
      </c>
      <c r="E171" s="1745" t="s">
        <v>2617</v>
      </c>
      <c r="F171" s="1745" t="s">
        <v>2491</v>
      </c>
      <c r="G171" s="1745" t="s">
        <v>15</v>
      </c>
      <c r="H171" s="1745" t="s">
        <v>15</v>
      </c>
      <c r="I171" s="1745" t="s">
        <v>1102</v>
      </c>
    </row>
    <row r="172" spans="1:9" ht="11.25" customHeight="1">
      <c r="A172" s="1745" t="s">
        <v>2444</v>
      </c>
      <c r="B172" s="1745" t="s">
        <v>3</v>
      </c>
      <c r="C172" s="1745" t="s">
        <v>2618</v>
      </c>
      <c r="D172" s="1745" t="s">
        <v>2619</v>
      </c>
      <c r="E172" s="1745" t="s">
        <v>2620</v>
      </c>
      <c r="F172" s="1745" t="s">
        <v>2621</v>
      </c>
      <c r="G172" s="1745" t="s">
        <v>15</v>
      </c>
      <c r="H172" s="1745" t="s">
        <v>15</v>
      </c>
      <c r="I172" s="1745" t="s">
        <v>1102</v>
      </c>
    </row>
    <row r="173" spans="1:9" ht="11.25" customHeight="1">
      <c r="A173" s="1745" t="s">
        <v>2444</v>
      </c>
      <c r="B173" s="1745" t="s">
        <v>3</v>
      </c>
      <c r="C173" s="1745" t="s">
        <v>2622</v>
      </c>
      <c r="D173" s="1745" t="s">
        <v>2623</v>
      </c>
      <c r="E173" s="1745" t="s">
        <v>2624</v>
      </c>
      <c r="F173" s="1745" t="s">
        <v>2562</v>
      </c>
      <c r="G173" s="1745" t="s">
        <v>2625</v>
      </c>
      <c r="H173" s="1745" t="s">
        <v>15</v>
      </c>
      <c r="I173" s="1745" t="s">
        <v>1102</v>
      </c>
    </row>
    <row r="174" spans="1:9" ht="11.25" customHeight="1">
      <c r="A174" s="1745" t="s">
        <v>2444</v>
      </c>
      <c r="B174" s="1745" t="s">
        <v>3</v>
      </c>
      <c r="C174" s="1745" t="s">
        <v>2629</v>
      </c>
      <c r="D174" s="1745" t="s">
        <v>2630</v>
      </c>
      <c r="E174" s="1745" t="s">
        <v>2631</v>
      </c>
      <c r="F174" s="1745" t="s">
        <v>2632</v>
      </c>
      <c r="G174" s="1745" t="s">
        <v>2633</v>
      </c>
      <c r="H174" s="1745" t="s">
        <v>15</v>
      </c>
      <c r="I174" s="1745" t="s">
        <v>1102</v>
      </c>
    </row>
    <row r="175" spans="1:9" ht="11.25" customHeight="1">
      <c r="A175" s="1745" t="s">
        <v>2444</v>
      </c>
      <c r="B175" s="1745" t="s">
        <v>3</v>
      </c>
      <c r="C175" s="1745" t="s">
        <v>2638</v>
      </c>
      <c r="D175" s="1745" t="s">
        <v>2639</v>
      </c>
      <c r="E175" s="1745" t="s">
        <v>2640</v>
      </c>
      <c r="F175" s="1745" t="s">
        <v>2555</v>
      </c>
      <c r="G175" s="1745" t="s">
        <v>15</v>
      </c>
      <c r="H175" s="1745" t="s">
        <v>15</v>
      </c>
      <c r="I175" s="1745" t="s">
        <v>1102</v>
      </c>
    </row>
    <row r="176" spans="1:9" ht="11.25" customHeight="1">
      <c r="A176" s="1745" t="s">
        <v>2444</v>
      </c>
      <c r="B176" s="1745" t="s">
        <v>3</v>
      </c>
      <c r="C176" s="1745" t="s">
        <v>2644</v>
      </c>
      <c r="D176" s="1745" t="s">
        <v>2645</v>
      </c>
      <c r="E176" s="1745" t="s">
        <v>2646</v>
      </c>
      <c r="F176" s="1745" t="s">
        <v>2466</v>
      </c>
      <c r="G176" s="1745" t="s">
        <v>15</v>
      </c>
      <c r="H176" s="1745" t="s">
        <v>15</v>
      </c>
      <c r="I176" s="1745" t="s">
        <v>1102</v>
      </c>
    </row>
    <row r="177" spans="1:9" ht="11.25" customHeight="1">
      <c r="A177" s="1745" t="s">
        <v>2444</v>
      </c>
      <c r="B177" s="1745" t="s">
        <v>3</v>
      </c>
      <c r="C177" s="1745" t="s">
        <v>2666</v>
      </c>
      <c r="D177" s="1745" t="s">
        <v>2667</v>
      </c>
      <c r="E177" s="1745" t="s">
        <v>2668</v>
      </c>
      <c r="F177" s="1745" t="s">
        <v>2669</v>
      </c>
      <c r="G177" s="1745" t="s">
        <v>15</v>
      </c>
      <c r="H177" s="1745" t="s">
        <v>15</v>
      </c>
      <c r="I177" s="1745" t="s">
        <v>1102</v>
      </c>
    </row>
    <row r="178" spans="1:9" ht="11.25" customHeight="1">
      <c r="A178" s="1745" t="s">
        <v>2444</v>
      </c>
      <c r="B178" s="1745" t="s">
        <v>3</v>
      </c>
      <c r="C178" s="1745" t="s">
        <v>2670</v>
      </c>
      <c r="D178" s="1745" t="s">
        <v>2671</v>
      </c>
      <c r="E178" s="1745" t="s">
        <v>2672</v>
      </c>
      <c r="F178" s="1745" t="s">
        <v>2673</v>
      </c>
      <c r="G178" s="1745" t="s">
        <v>15</v>
      </c>
      <c r="H178" s="1745" t="s">
        <v>15</v>
      </c>
      <c r="I178" s="1745" t="s">
        <v>1102</v>
      </c>
    </row>
    <row r="179" spans="1:9" ht="11.25" customHeight="1">
      <c r="A179" s="1745" t="s">
        <v>2444</v>
      </c>
      <c r="B179" s="1745" t="s">
        <v>3</v>
      </c>
      <c r="C179" s="1745" t="s">
        <v>2674</v>
      </c>
      <c r="D179" s="1745" t="s">
        <v>2675</v>
      </c>
      <c r="E179" s="1745" t="s">
        <v>2676</v>
      </c>
      <c r="F179" s="1745" t="s">
        <v>2621</v>
      </c>
      <c r="G179" s="1745" t="s">
        <v>15</v>
      </c>
      <c r="H179" s="1745" t="s">
        <v>15</v>
      </c>
      <c r="I179" s="1745" t="s">
        <v>1102</v>
      </c>
    </row>
    <row r="180" spans="1:9" ht="11.25" customHeight="1">
      <c r="A180" s="1745" t="s">
        <v>2444</v>
      </c>
      <c r="B180" s="1745" t="s">
        <v>3</v>
      </c>
      <c r="C180" s="1745" t="s">
        <v>2693</v>
      </c>
      <c r="D180" s="1745" t="s">
        <v>2694</v>
      </c>
      <c r="E180" s="1745" t="s">
        <v>2695</v>
      </c>
      <c r="F180" s="1745" t="s">
        <v>2491</v>
      </c>
      <c r="G180" s="1745" t="s">
        <v>15</v>
      </c>
      <c r="H180" s="1745" t="s">
        <v>15</v>
      </c>
      <c r="I180" s="1745" t="s">
        <v>1102</v>
      </c>
    </row>
    <row r="181" spans="1:9" ht="11.25" customHeight="1">
      <c r="A181" s="1745" t="s">
        <v>2444</v>
      </c>
      <c r="B181" s="1745" t="s">
        <v>3</v>
      </c>
      <c r="C181" s="1745" t="s">
        <v>2699</v>
      </c>
      <c r="D181" s="1745" t="s">
        <v>2700</v>
      </c>
      <c r="E181" s="1745" t="s">
        <v>2701</v>
      </c>
      <c r="F181" s="1745" t="s">
        <v>38</v>
      </c>
      <c r="G181" s="1745" t="s">
        <v>15</v>
      </c>
      <c r="H181" s="1745" t="s">
        <v>15</v>
      </c>
      <c r="I181" s="1745" t="s">
        <v>1102</v>
      </c>
    </row>
    <row r="182" spans="1:9" ht="11.25" customHeight="1">
      <c r="A182" s="1745" t="s">
        <v>2444</v>
      </c>
      <c r="B182" s="1745" t="s">
        <v>3</v>
      </c>
      <c r="C182" s="1745" t="s">
        <v>2702</v>
      </c>
      <c r="D182" s="1745" t="s">
        <v>2703</v>
      </c>
      <c r="E182" s="1745" t="s">
        <v>2704</v>
      </c>
      <c r="F182" s="1745" t="s">
        <v>2705</v>
      </c>
      <c r="G182" s="1745" t="s">
        <v>15</v>
      </c>
      <c r="H182" s="1745" t="s">
        <v>15</v>
      </c>
      <c r="I182" s="1745" t="s">
        <v>1102</v>
      </c>
    </row>
    <row r="183" spans="1:9" ht="11.25" customHeight="1">
      <c r="A183" s="1745" t="s">
        <v>2444</v>
      </c>
      <c r="B183" s="1745" t="s">
        <v>3</v>
      </c>
      <c r="C183" s="1745" t="s">
        <v>2709</v>
      </c>
      <c r="D183" s="1745" t="s">
        <v>2710</v>
      </c>
      <c r="E183" s="1745" t="s">
        <v>2711</v>
      </c>
      <c r="F183" s="1745" t="s">
        <v>2632</v>
      </c>
      <c r="G183" s="1745" t="s">
        <v>15</v>
      </c>
      <c r="H183" s="1745" t="s">
        <v>15</v>
      </c>
      <c r="I183" s="1745" t="s">
        <v>1102</v>
      </c>
    </row>
    <row r="184" spans="1:9" ht="11.25" customHeight="1">
      <c r="A184" s="1745" t="s">
        <v>2444</v>
      </c>
      <c r="B184" s="1745" t="s">
        <v>3</v>
      </c>
      <c r="C184" s="1745" t="s">
        <v>2718</v>
      </c>
      <c r="D184" s="1745" t="s">
        <v>2719</v>
      </c>
      <c r="E184" s="1745" t="s">
        <v>2720</v>
      </c>
      <c r="F184" s="1745" t="s">
        <v>2632</v>
      </c>
      <c r="G184" s="1745" t="s">
        <v>15</v>
      </c>
      <c r="H184" s="1745" t="s">
        <v>15</v>
      </c>
      <c r="I184" s="1745" t="s">
        <v>1102</v>
      </c>
    </row>
    <row r="185" spans="1:9" ht="11.25" customHeight="1">
      <c r="A185" s="1745" t="s">
        <v>2444</v>
      </c>
      <c r="B185" s="1745" t="s">
        <v>3</v>
      </c>
      <c r="C185" s="1745" t="s">
        <v>2721</v>
      </c>
      <c r="D185" s="1745" t="s">
        <v>2722</v>
      </c>
      <c r="E185" s="1745" t="s">
        <v>2723</v>
      </c>
      <c r="F185" s="1745" t="s">
        <v>2491</v>
      </c>
      <c r="G185" s="1745" t="s">
        <v>15</v>
      </c>
      <c r="H185" s="1745" t="s">
        <v>15</v>
      </c>
      <c r="I185" s="1745" t="s">
        <v>1102</v>
      </c>
    </row>
    <row r="186" spans="1:9" ht="11.25" customHeight="1">
      <c r="A186" s="1745" t="s">
        <v>2444</v>
      </c>
      <c r="B186" s="1745" t="s">
        <v>3</v>
      </c>
      <c r="C186" s="1745" t="s">
        <v>2733</v>
      </c>
      <c r="D186" s="1745" t="s">
        <v>2734</v>
      </c>
      <c r="E186" s="1745" t="s">
        <v>2735</v>
      </c>
      <c r="F186" s="1745" t="s">
        <v>2673</v>
      </c>
      <c r="G186" s="1745" t="s">
        <v>15</v>
      </c>
      <c r="H186" s="1745" t="s">
        <v>15</v>
      </c>
      <c r="I186" s="1745" t="s">
        <v>1102</v>
      </c>
    </row>
    <row r="187" spans="1:9" ht="11.25" customHeight="1">
      <c r="A187" s="1745" t="s">
        <v>2444</v>
      </c>
      <c r="B187" s="1745" t="s">
        <v>3</v>
      </c>
      <c r="C187" s="1745" t="s">
        <v>2736</v>
      </c>
      <c r="D187" s="1745" t="s">
        <v>2737</v>
      </c>
      <c r="E187" s="1745" t="s">
        <v>2738</v>
      </c>
      <c r="F187" s="1745" t="s">
        <v>2504</v>
      </c>
      <c r="G187" s="1745" t="s">
        <v>15</v>
      </c>
      <c r="H187" s="1745" t="s">
        <v>15</v>
      </c>
      <c r="I187" s="1745" t="s">
        <v>1102</v>
      </c>
    </row>
    <row r="188" spans="1:9" ht="11.25" customHeight="1">
      <c r="A188" s="1745" t="s">
        <v>2444</v>
      </c>
      <c r="B188" s="1745" t="s">
        <v>3</v>
      </c>
      <c r="C188" s="1745" t="s">
        <v>2746</v>
      </c>
      <c r="D188" s="1745" t="s">
        <v>2747</v>
      </c>
      <c r="E188" s="1745" t="s">
        <v>2748</v>
      </c>
      <c r="F188" s="1745" t="s">
        <v>2466</v>
      </c>
      <c r="G188" s="1745" t="s">
        <v>2745</v>
      </c>
      <c r="H188" s="1745" t="s">
        <v>15</v>
      </c>
      <c r="I188" s="1745" t="s">
        <v>1102</v>
      </c>
    </row>
    <row r="189" spans="1:9" ht="11.25" customHeight="1">
      <c r="A189" s="1745" t="s">
        <v>2444</v>
      </c>
      <c r="B189" s="1745" t="s">
        <v>3</v>
      </c>
      <c r="C189" s="1745" t="s">
        <v>2749</v>
      </c>
      <c r="D189" s="1745" t="s">
        <v>2750</v>
      </c>
      <c r="E189" s="1745" t="s">
        <v>2751</v>
      </c>
      <c r="F189" s="1745" t="s">
        <v>2562</v>
      </c>
      <c r="G189" s="1745" t="s">
        <v>15</v>
      </c>
      <c r="H189" s="1745" t="s">
        <v>15</v>
      </c>
      <c r="I189" s="1745" t="s">
        <v>1102</v>
      </c>
    </row>
    <row r="190" spans="1:9" ht="11.25" customHeight="1">
      <c r="A190" s="1745" t="s">
        <v>2444</v>
      </c>
      <c r="B190" s="1745" t="s">
        <v>3</v>
      </c>
      <c r="C190" s="1745" t="s">
        <v>2756</v>
      </c>
      <c r="D190" s="1745" t="s">
        <v>2757</v>
      </c>
      <c r="E190" s="1745" t="s">
        <v>2758</v>
      </c>
      <c r="F190" s="1745" t="s">
        <v>2466</v>
      </c>
      <c r="G190" s="1745" t="s">
        <v>15</v>
      </c>
      <c r="H190" s="1745" t="s">
        <v>15</v>
      </c>
      <c r="I190" s="1745" t="s">
        <v>1102</v>
      </c>
    </row>
    <row r="191" spans="1:9" ht="11.25" customHeight="1">
      <c r="A191" s="1745" t="s">
        <v>2444</v>
      </c>
      <c r="B191" s="1745" t="s">
        <v>3</v>
      </c>
      <c r="C191" s="1745" t="s">
        <v>2759</v>
      </c>
      <c r="D191" s="1745" t="s">
        <v>2760</v>
      </c>
      <c r="E191" s="1745" t="s">
        <v>2761</v>
      </c>
      <c r="F191" s="1745" t="s">
        <v>2466</v>
      </c>
      <c r="G191" s="1745" t="s">
        <v>15</v>
      </c>
      <c r="H191" s="1745" t="s">
        <v>15</v>
      </c>
      <c r="I191" s="1745" t="s">
        <v>1102</v>
      </c>
    </row>
    <row r="192" spans="1:9" ht="11.25" customHeight="1">
      <c r="A192" s="1745" t="s">
        <v>2444</v>
      </c>
      <c r="B192" s="1745" t="s">
        <v>3</v>
      </c>
      <c r="C192" s="1745" t="s">
        <v>2762</v>
      </c>
      <c r="D192" s="1745" t="s">
        <v>2763</v>
      </c>
      <c r="E192" s="1745" t="s">
        <v>2764</v>
      </c>
      <c r="F192" s="1745" t="s">
        <v>2466</v>
      </c>
      <c r="G192" s="1745" t="s">
        <v>15</v>
      </c>
      <c r="H192" s="1745" t="s">
        <v>15</v>
      </c>
      <c r="I192" s="1745" t="s">
        <v>1102</v>
      </c>
    </row>
    <row r="193" spans="1:9" ht="11.25" customHeight="1">
      <c r="A193" s="1745" t="s">
        <v>2444</v>
      </c>
      <c r="B193" s="1745" t="s">
        <v>3</v>
      </c>
      <c r="C193" s="1745" t="s">
        <v>2768</v>
      </c>
      <c r="D193" s="1745" t="s">
        <v>2769</v>
      </c>
      <c r="E193" s="1745" t="s">
        <v>2770</v>
      </c>
      <c r="F193" s="1745" t="s">
        <v>2466</v>
      </c>
      <c r="G193" s="1745" t="s">
        <v>15</v>
      </c>
      <c r="H193" s="1745" t="s">
        <v>15</v>
      </c>
      <c r="I193" s="1745" t="s">
        <v>1102</v>
      </c>
    </row>
    <row r="194" spans="1:9" ht="11.25" customHeight="1">
      <c r="A194" s="1745" t="s">
        <v>2444</v>
      </c>
      <c r="B194" s="1745" t="s">
        <v>3</v>
      </c>
      <c r="C194" s="1745" t="s">
        <v>2776</v>
      </c>
      <c r="D194" s="1745" t="s">
        <v>2777</v>
      </c>
      <c r="E194" s="1745" t="s">
        <v>2778</v>
      </c>
      <c r="F194" s="1745" t="s">
        <v>2466</v>
      </c>
      <c r="G194" s="1745" t="s">
        <v>15</v>
      </c>
      <c r="H194" s="1745" t="s">
        <v>15</v>
      </c>
      <c r="I194" s="1745" t="s">
        <v>1102</v>
      </c>
    </row>
    <row r="195" spans="1:9" ht="11.25" customHeight="1">
      <c r="A195" s="1745" t="s">
        <v>2444</v>
      </c>
      <c r="B195" s="1745" t="s">
        <v>3</v>
      </c>
      <c r="C195" s="1745" t="s">
        <v>2782</v>
      </c>
      <c r="D195" s="1745" t="s">
        <v>2783</v>
      </c>
      <c r="E195" s="1745" t="s">
        <v>2784</v>
      </c>
      <c r="F195" s="1745" t="s">
        <v>38</v>
      </c>
      <c r="G195" s="1745" t="s">
        <v>15</v>
      </c>
      <c r="H195" s="1745" t="s">
        <v>15</v>
      </c>
      <c r="I195" s="1745" t="s">
        <v>1102</v>
      </c>
    </row>
    <row r="196" spans="1:9" ht="11.25" customHeight="1">
      <c r="A196" s="1745" t="s">
        <v>2444</v>
      </c>
      <c r="B196" s="1745" t="s">
        <v>3</v>
      </c>
      <c r="C196" s="1745" t="s">
        <v>2788</v>
      </c>
      <c r="D196" s="1745" t="s">
        <v>2789</v>
      </c>
      <c r="E196" s="1745" t="s">
        <v>2790</v>
      </c>
      <c r="F196" s="1745" t="s">
        <v>2632</v>
      </c>
      <c r="G196" s="1745" t="s">
        <v>15</v>
      </c>
      <c r="H196" s="1745" t="s">
        <v>15</v>
      </c>
      <c r="I196" s="1745" t="s">
        <v>1102</v>
      </c>
    </row>
    <row r="197" spans="1:9" ht="11.25" customHeight="1">
      <c r="A197" s="1745" t="s">
        <v>2444</v>
      </c>
      <c r="B197" s="1745" t="s">
        <v>3</v>
      </c>
      <c r="C197" s="1745" t="s">
        <v>2794</v>
      </c>
      <c r="D197" s="1745" t="s">
        <v>2795</v>
      </c>
      <c r="E197" s="1745" t="s">
        <v>2796</v>
      </c>
      <c r="F197" s="1745" t="s">
        <v>2632</v>
      </c>
      <c r="G197" s="1745" t="s">
        <v>2662</v>
      </c>
      <c r="H197" s="1745" t="s">
        <v>15</v>
      </c>
      <c r="I197" s="1745" t="s">
        <v>1102</v>
      </c>
    </row>
    <row r="198" spans="1:9" ht="11.25" customHeight="1">
      <c r="A198" s="1745" t="s">
        <v>2444</v>
      </c>
      <c r="B198" s="1745" t="s">
        <v>3</v>
      </c>
      <c r="C198" s="1745" t="s">
        <v>2806</v>
      </c>
      <c r="D198" s="1745" t="s">
        <v>2807</v>
      </c>
      <c r="E198" s="1745" t="s">
        <v>2808</v>
      </c>
      <c r="F198" s="1745" t="s">
        <v>2551</v>
      </c>
      <c r="G198" s="1745" t="s">
        <v>15</v>
      </c>
      <c r="H198" s="1745" t="s">
        <v>15</v>
      </c>
      <c r="I198" s="1745" t="s">
        <v>1102</v>
      </c>
    </row>
    <row r="199" spans="1:9" ht="11.25" customHeight="1">
      <c r="A199" s="1745" t="s">
        <v>2444</v>
      </c>
      <c r="B199" s="1745" t="s">
        <v>3</v>
      </c>
      <c r="C199" s="1745" t="s">
        <v>2809</v>
      </c>
      <c r="D199" s="1745" t="s">
        <v>2810</v>
      </c>
      <c r="E199" s="1745" t="s">
        <v>2811</v>
      </c>
      <c r="F199" s="1745" t="s">
        <v>2466</v>
      </c>
      <c r="G199" s="1745" t="s">
        <v>15</v>
      </c>
      <c r="H199" s="1745" t="s">
        <v>15</v>
      </c>
      <c r="I199" s="1745" t="s">
        <v>1102</v>
      </c>
    </row>
    <row r="200" spans="1:9" ht="11.25" customHeight="1">
      <c r="A200" s="1745" t="s">
        <v>2444</v>
      </c>
      <c r="B200" s="1745" t="s">
        <v>3</v>
      </c>
      <c r="C200" s="1745" t="s">
        <v>2815</v>
      </c>
      <c r="D200" s="1745" t="s">
        <v>2816</v>
      </c>
      <c r="E200" s="1745" t="s">
        <v>2817</v>
      </c>
      <c r="F200" s="1745" t="s">
        <v>2632</v>
      </c>
      <c r="G200" s="1745" t="s">
        <v>15</v>
      </c>
      <c r="H200" s="1745" t="s">
        <v>15</v>
      </c>
      <c r="I200" s="1745" t="s">
        <v>1102</v>
      </c>
    </row>
    <row r="201" spans="1:9" ht="11.25" customHeight="1">
      <c r="A201" s="1745" t="s">
        <v>2444</v>
      </c>
      <c r="B201" s="1745" t="s">
        <v>3</v>
      </c>
      <c r="C201" s="1745" t="s">
        <v>0</v>
      </c>
      <c r="D201" s="1745" t="s">
        <v>33</v>
      </c>
      <c r="E201" s="1745" t="s">
        <v>36</v>
      </c>
      <c r="F201" s="1745" t="s">
        <v>38</v>
      </c>
      <c r="G201" s="1745" t="s">
        <v>15</v>
      </c>
      <c r="H201" s="1745" t="s">
        <v>15</v>
      </c>
      <c r="I201" s="1745" t="s">
        <v>1102</v>
      </c>
    </row>
    <row r="202" spans="1:9" ht="11.25" customHeight="1">
      <c r="A202" s="1745" t="s">
        <v>2444</v>
      </c>
      <c r="B202" s="1745" t="s">
        <v>3</v>
      </c>
      <c r="C202" s="1745" t="s">
        <v>2818</v>
      </c>
      <c r="D202" s="1745" t="s">
        <v>2819</v>
      </c>
      <c r="E202" s="1745" t="s">
        <v>2820</v>
      </c>
      <c r="F202" s="1745" t="s">
        <v>2621</v>
      </c>
      <c r="G202" s="1745" t="s">
        <v>15</v>
      </c>
      <c r="H202" s="1745" t="s">
        <v>15</v>
      </c>
      <c r="I202" s="1745" t="s">
        <v>1102</v>
      </c>
    </row>
    <row r="203" spans="1:9" ht="11.25" customHeight="1">
      <c r="A203" s="1745" t="s">
        <v>2444</v>
      </c>
      <c r="B203" s="1745" t="s">
        <v>3</v>
      </c>
      <c r="C203" s="1745" t="s">
        <v>2824</v>
      </c>
      <c r="D203" s="1745" t="s">
        <v>2825</v>
      </c>
      <c r="E203" s="1745" t="s">
        <v>2826</v>
      </c>
      <c r="F203" s="1745" t="s">
        <v>2827</v>
      </c>
      <c r="G203" s="1745" t="s">
        <v>15</v>
      </c>
      <c r="H203" s="1745" t="s">
        <v>15</v>
      </c>
      <c r="I203" s="1745" t="s">
        <v>1102</v>
      </c>
    </row>
    <row r="204" spans="1:9" ht="11.25" customHeight="1">
      <c r="A204" s="1745" t="s">
        <v>2444</v>
      </c>
      <c r="B204" s="1745" t="s">
        <v>3</v>
      </c>
      <c r="C204" s="1745" t="s">
        <v>2832</v>
      </c>
      <c r="D204" s="1745" t="s">
        <v>2833</v>
      </c>
      <c r="E204" s="1745" t="s">
        <v>2834</v>
      </c>
      <c r="F204" s="1745" t="s">
        <v>2632</v>
      </c>
      <c r="G204" s="1745" t="s">
        <v>2611</v>
      </c>
      <c r="H204" s="1745" t="s">
        <v>15</v>
      </c>
      <c r="I204" s="1745" t="s">
        <v>1102</v>
      </c>
    </row>
    <row r="205" spans="1:9" ht="11.25" customHeight="1">
      <c r="A205" s="1745" t="s">
        <v>2444</v>
      </c>
      <c r="B205" s="1745" t="s">
        <v>3</v>
      </c>
      <c r="C205" s="1745" t="s">
        <v>2835</v>
      </c>
      <c r="D205" s="1745" t="s">
        <v>2836</v>
      </c>
      <c r="E205" s="1745" t="s">
        <v>2837</v>
      </c>
      <c r="F205" s="1745" t="s">
        <v>2621</v>
      </c>
      <c r="G205" s="1745" t="s">
        <v>15</v>
      </c>
      <c r="H205" s="1745" t="s">
        <v>15</v>
      </c>
      <c r="I205" s="1745" t="s">
        <v>1102</v>
      </c>
    </row>
    <row r="206" spans="1:9" ht="11.25" customHeight="1">
      <c r="A206" s="1745" t="s">
        <v>2444</v>
      </c>
      <c r="B206" s="1745" t="s">
        <v>3</v>
      </c>
      <c r="C206" s="1745" t="s">
        <v>2841</v>
      </c>
      <c r="D206" s="1745" t="s">
        <v>2842</v>
      </c>
      <c r="E206" s="1745" t="s">
        <v>2843</v>
      </c>
      <c r="F206" s="1745" t="s">
        <v>2844</v>
      </c>
      <c r="G206" s="1745" t="s">
        <v>15</v>
      </c>
      <c r="H206" s="1745" t="s">
        <v>15</v>
      </c>
      <c r="I206" s="1745" t="s">
        <v>1102</v>
      </c>
    </row>
    <row r="207" spans="1:9" ht="11.25" customHeight="1">
      <c r="A207" s="1745" t="s">
        <v>2444</v>
      </c>
      <c r="B207" s="1745" t="s">
        <v>3</v>
      </c>
      <c r="C207" s="1745" t="s">
        <v>2855</v>
      </c>
      <c r="D207" s="1745" t="s">
        <v>2856</v>
      </c>
      <c r="E207" s="1745" t="s">
        <v>2857</v>
      </c>
      <c r="F207" s="1745" t="s">
        <v>38</v>
      </c>
      <c r="G207" s="1745" t="s">
        <v>15</v>
      </c>
      <c r="H207" s="1745" t="s">
        <v>15</v>
      </c>
      <c r="I207" s="1745" t="s">
        <v>1102</v>
      </c>
    </row>
    <row r="208" spans="1:9" ht="11.25" customHeight="1">
      <c r="A208" s="1745" t="s">
        <v>2444</v>
      </c>
      <c r="B208" s="1745" t="s">
        <v>3</v>
      </c>
      <c r="C208" s="1745" t="s">
        <v>2858</v>
      </c>
      <c r="D208" s="1745" t="s">
        <v>2859</v>
      </c>
      <c r="E208" s="1745" t="s">
        <v>2860</v>
      </c>
      <c r="F208" s="1745" t="s">
        <v>2491</v>
      </c>
      <c r="G208" s="1745" t="s">
        <v>15</v>
      </c>
      <c r="H208" s="1745" t="s">
        <v>15</v>
      </c>
      <c r="I208" s="1745" t="s">
        <v>1102</v>
      </c>
    </row>
    <row r="209" spans="1:9" ht="11.25" customHeight="1">
      <c r="A209" s="1745" t="s">
        <v>2444</v>
      </c>
      <c r="B209" s="1745" t="s">
        <v>3</v>
      </c>
      <c r="C209" s="1745" t="s">
        <v>2877</v>
      </c>
      <c r="D209" s="1745" t="s">
        <v>2878</v>
      </c>
      <c r="E209" s="1745" t="s">
        <v>2879</v>
      </c>
      <c r="F209" s="1745" t="s">
        <v>2562</v>
      </c>
      <c r="G209" s="1745" t="s">
        <v>15</v>
      </c>
      <c r="H209" s="1745" t="s">
        <v>15</v>
      </c>
      <c r="I209" s="1745" t="s">
        <v>1102</v>
      </c>
    </row>
    <row r="210" spans="1:9" ht="11.25" customHeight="1">
      <c r="A210" s="1745" t="s">
        <v>2444</v>
      </c>
      <c r="B210" s="1745" t="s">
        <v>3</v>
      </c>
      <c r="C210" s="1745" t="s">
        <v>2884</v>
      </c>
      <c r="D210" s="1745" t="s">
        <v>2885</v>
      </c>
      <c r="E210" s="1745" t="s">
        <v>2886</v>
      </c>
      <c r="F210" s="1745" t="s">
        <v>2887</v>
      </c>
      <c r="G210" s="1745" t="s">
        <v>15</v>
      </c>
      <c r="H210" s="1745" t="s">
        <v>15</v>
      </c>
      <c r="I210" s="1745" t="s">
        <v>1102</v>
      </c>
    </row>
    <row r="211" spans="1:9" ht="11.25" customHeight="1">
      <c r="A211" s="1745" t="s">
        <v>2444</v>
      </c>
      <c r="B211" s="1745" t="s">
        <v>3</v>
      </c>
      <c r="C211" s="1745" t="s">
        <v>2888</v>
      </c>
      <c r="D211" s="1745" t="s">
        <v>2889</v>
      </c>
      <c r="E211" s="1745" t="s">
        <v>2890</v>
      </c>
      <c r="F211" s="1745" t="s">
        <v>2891</v>
      </c>
      <c r="G211" s="1745" t="s">
        <v>15</v>
      </c>
      <c r="H211" s="1745" t="s">
        <v>15</v>
      </c>
      <c r="I211" s="1745" t="s">
        <v>1102</v>
      </c>
    </row>
    <row r="212" spans="1:9" ht="11.25" customHeight="1">
      <c r="A212" s="1745" t="s">
        <v>2444</v>
      </c>
      <c r="B212" s="1745" t="s">
        <v>3</v>
      </c>
      <c r="C212" s="1745" t="s">
        <v>2947</v>
      </c>
      <c r="D212" s="1745" t="s">
        <v>2889</v>
      </c>
      <c r="E212" s="1745" t="s">
        <v>2890</v>
      </c>
      <c r="F212" s="1745" t="s">
        <v>2948</v>
      </c>
      <c r="G212" s="1745" t="s">
        <v>15</v>
      </c>
      <c r="H212" s="1745" t="s">
        <v>15</v>
      </c>
      <c r="I212" s="1745" t="s">
        <v>1102</v>
      </c>
    </row>
    <row r="213" spans="1:9" ht="11.25" customHeight="1">
      <c r="A213" s="1745" t="s">
        <v>2444</v>
      </c>
      <c r="B213" s="1745" t="s">
        <v>3</v>
      </c>
      <c r="C213" s="1745" t="s">
        <v>2892</v>
      </c>
      <c r="D213" s="1745" t="s">
        <v>2893</v>
      </c>
      <c r="E213" s="1745" t="s">
        <v>2668</v>
      </c>
      <c r="F213" s="1745" t="s">
        <v>2894</v>
      </c>
      <c r="G213" s="1745" t="s">
        <v>15</v>
      </c>
      <c r="H213" s="1745" t="s">
        <v>15</v>
      </c>
      <c r="I213" s="1745" t="s">
        <v>1102</v>
      </c>
    </row>
    <row r="214" spans="1:9" ht="11.25" customHeight="1">
      <c r="A214" s="1745" t="s">
        <v>2444</v>
      </c>
      <c r="B214" s="1745" t="s">
        <v>3</v>
      </c>
      <c r="C214" s="1745" t="s">
        <v>2895</v>
      </c>
      <c r="D214" s="1745" t="s">
        <v>2896</v>
      </c>
      <c r="E214" s="1745" t="s">
        <v>2897</v>
      </c>
      <c r="F214" s="1745" t="s">
        <v>2466</v>
      </c>
      <c r="G214" s="1745" t="s">
        <v>15</v>
      </c>
      <c r="H214" s="1745" t="s">
        <v>15</v>
      </c>
      <c r="I214" s="1745" t="s">
        <v>1102</v>
      </c>
    </row>
    <row r="215" spans="1:9" ht="11.25" customHeight="1">
      <c r="A215" s="1745" t="s">
        <v>2444</v>
      </c>
      <c r="B215" s="1745" t="s">
        <v>3</v>
      </c>
      <c r="C215" s="1745" t="s">
        <v>2904</v>
      </c>
      <c r="D215" s="1745" t="s">
        <v>2905</v>
      </c>
      <c r="E215" s="1745" t="s">
        <v>2668</v>
      </c>
      <c r="F215" s="1745" t="s">
        <v>2906</v>
      </c>
      <c r="G215" s="1745" t="s">
        <v>15</v>
      </c>
      <c r="H215" s="1745" t="s">
        <v>15</v>
      </c>
      <c r="I215" s="1745" t="s">
        <v>1102</v>
      </c>
    </row>
    <row r="216" spans="1:9" ht="11.25" customHeight="1">
      <c r="A216" s="1745" t="s">
        <v>2444</v>
      </c>
      <c r="B216" s="1745" t="s">
        <v>3</v>
      </c>
      <c r="C216" s="1745" t="s">
        <v>2910</v>
      </c>
      <c r="D216" s="1745" t="s">
        <v>2911</v>
      </c>
      <c r="E216" s="1745" t="s">
        <v>2912</v>
      </c>
      <c r="F216" s="1745" t="s">
        <v>2480</v>
      </c>
      <c r="G216" s="1745" t="s">
        <v>15</v>
      </c>
      <c r="H216" s="1745" t="s">
        <v>15</v>
      </c>
      <c r="I216" s="1745" t="s">
        <v>1102</v>
      </c>
    </row>
    <row r="217" spans="1:9" ht="11.25" customHeight="1">
      <c r="A217" s="1745" t="s">
        <v>2444</v>
      </c>
      <c r="B217" s="1745" t="s">
        <v>3</v>
      </c>
      <c r="C217" s="1745" t="s">
        <v>2913</v>
      </c>
      <c r="D217" s="1745" t="s">
        <v>2914</v>
      </c>
      <c r="E217" s="1745" t="s">
        <v>2915</v>
      </c>
      <c r="F217" s="1745" t="s">
        <v>2916</v>
      </c>
      <c r="G217" s="1745" t="s">
        <v>15</v>
      </c>
      <c r="H217" s="1745" t="s">
        <v>15</v>
      </c>
      <c r="I217" s="1745" t="s">
        <v>1102</v>
      </c>
    </row>
    <row r="218" spans="1:9" ht="11.25" customHeight="1">
      <c r="A218" s="1745" t="s">
        <v>2444</v>
      </c>
      <c r="B218" s="1745" t="s">
        <v>3</v>
      </c>
      <c r="C218" s="1745" t="s">
        <v>2921</v>
      </c>
      <c r="D218" s="1745" t="s">
        <v>2922</v>
      </c>
      <c r="E218" s="1745" t="s">
        <v>2923</v>
      </c>
      <c r="F218" s="1745" t="s">
        <v>2673</v>
      </c>
      <c r="G218" s="1745" t="s">
        <v>15</v>
      </c>
      <c r="H218" s="1745" t="s">
        <v>15</v>
      </c>
      <c r="I218" s="1745" t="s">
        <v>1102</v>
      </c>
    </row>
    <row r="219" spans="1:9" ht="11.25" customHeight="1">
      <c r="A219" s="1745" t="s">
        <v>2444</v>
      </c>
      <c r="B219" s="1745" t="s">
        <v>3</v>
      </c>
      <c r="C219" s="1745" t="s">
        <v>2924</v>
      </c>
      <c r="D219" s="1745" t="s">
        <v>2925</v>
      </c>
      <c r="E219" s="1745" t="s">
        <v>2926</v>
      </c>
      <c r="F219" s="1745" t="s">
        <v>2673</v>
      </c>
      <c r="G219" s="1745" t="s">
        <v>15</v>
      </c>
      <c r="H219" s="1745" t="s">
        <v>15</v>
      </c>
      <c r="I219" s="1745" t="s">
        <v>1102</v>
      </c>
    </row>
    <row r="220" spans="1:9" ht="11.25" customHeight="1">
      <c r="A220" s="1745" t="s">
        <v>2444</v>
      </c>
      <c r="B220" s="1745" t="s">
        <v>3</v>
      </c>
      <c r="C220" s="1745" t="s">
        <v>2927</v>
      </c>
      <c r="D220" s="1745" t="s">
        <v>2928</v>
      </c>
      <c r="E220" s="1745" t="s">
        <v>2929</v>
      </c>
      <c r="F220" s="1745" t="s">
        <v>2466</v>
      </c>
      <c r="G220" s="1745" t="s">
        <v>15</v>
      </c>
      <c r="H220" s="1745" t="s">
        <v>15</v>
      </c>
      <c r="I220" s="1745" t="s">
        <v>1102</v>
      </c>
    </row>
    <row r="221" spans="1:9" ht="11.25" customHeight="1">
      <c r="A221" s="1745" t="s">
        <v>2444</v>
      </c>
      <c r="B221" s="1745" t="s">
        <v>3</v>
      </c>
      <c r="C221" s="1745" t="s">
        <v>2930</v>
      </c>
      <c r="D221" s="1745" t="s">
        <v>2931</v>
      </c>
      <c r="E221" s="1745" t="s">
        <v>2932</v>
      </c>
      <c r="F221" s="1745" t="s">
        <v>2933</v>
      </c>
      <c r="G221" s="1745" t="s">
        <v>15</v>
      </c>
      <c r="H221" s="1745" t="s">
        <v>15</v>
      </c>
      <c r="I221" s="1745" t="s">
        <v>1102</v>
      </c>
    </row>
    <row r="222" spans="1:9" ht="11.25" customHeight="1">
      <c r="A222" s="1745" t="s">
        <v>2444</v>
      </c>
      <c r="B222" s="1745" t="s">
        <v>3</v>
      </c>
      <c r="C222" s="1745" t="s">
        <v>2934</v>
      </c>
      <c r="D222" s="1745" t="s">
        <v>2935</v>
      </c>
      <c r="E222" s="1745" t="s">
        <v>2936</v>
      </c>
      <c r="F222" s="1745" t="s">
        <v>2891</v>
      </c>
      <c r="G222" s="1745" t="s">
        <v>15</v>
      </c>
      <c r="H222" s="1745" t="s">
        <v>15</v>
      </c>
      <c r="I222" s="1745" t="s">
        <v>1102</v>
      </c>
    </row>
    <row r="223" spans="1:9" ht="11.25" customHeight="1">
      <c r="A223" s="1745" t="s">
        <v>2444</v>
      </c>
      <c r="B223" s="1745" t="s">
        <v>3</v>
      </c>
      <c r="C223" s="1745" t="s">
        <v>2944</v>
      </c>
      <c r="D223" s="1745" t="s">
        <v>2945</v>
      </c>
      <c r="E223" s="1745" t="s">
        <v>2909</v>
      </c>
      <c r="F223" s="1745" t="s">
        <v>2946</v>
      </c>
      <c r="G223" s="1745" t="s">
        <v>15</v>
      </c>
      <c r="H223" s="1745" t="s">
        <v>15</v>
      </c>
      <c r="I223" s="1745" t="s">
        <v>1102</v>
      </c>
    </row>
    <row r="224" spans="1:9" ht="11.25" customHeight="1">
      <c r="A224" s="1745" t="s">
        <v>2444</v>
      </c>
      <c r="B224" s="1745" t="s">
        <v>3</v>
      </c>
      <c r="C224" s="1745" t="s">
        <v>2949</v>
      </c>
      <c r="D224" s="1745" t="s">
        <v>2950</v>
      </c>
      <c r="E224" s="1745" t="s">
        <v>2951</v>
      </c>
      <c r="F224" s="1745" t="s">
        <v>2621</v>
      </c>
      <c r="G224" s="1745" t="s">
        <v>15</v>
      </c>
      <c r="H224" s="1745" t="s">
        <v>15</v>
      </c>
      <c r="I224" s="1745" t="s">
        <v>1062</v>
      </c>
    </row>
    <row r="225" spans="1:9" ht="11.25" customHeight="1">
      <c r="A225" s="1745" t="s">
        <v>2444</v>
      </c>
      <c r="B225" s="1745" t="s">
        <v>3</v>
      </c>
      <c r="C225" s="1745" t="s">
        <v>2445</v>
      </c>
      <c r="D225" s="1745" t="s">
        <v>2446</v>
      </c>
      <c r="E225" s="1745" t="s">
        <v>2447</v>
      </c>
      <c r="F225" s="1745" t="s">
        <v>2448</v>
      </c>
      <c r="G225" s="1745" t="s">
        <v>15</v>
      </c>
      <c r="H225" s="1745" t="s">
        <v>15</v>
      </c>
      <c r="I225" s="1745" t="s">
        <v>1062</v>
      </c>
    </row>
    <row r="226" spans="1:9" ht="11.25" customHeight="1">
      <c r="A226" s="1745" t="s">
        <v>2444</v>
      </c>
      <c r="B226" s="1745" t="s">
        <v>3</v>
      </c>
      <c r="C226" s="1745" t="s">
        <v>2449</v>
      </c>
      <c r="D226" s="1745" t="s">
        <v>2446</v>
      </c>
      <c r="E226" s="1745" t="s">
        <v>2447</v>
      </c>
      <c r="F226" s="1745" t="s">
        <v>2450</v>
      </c>
      <c r="G226" s="1745" t="s">
        <v>15</v>
      </c>
      <c r="H226" s="1745" t="s">
        <v>15</v>
      </c>
      <c r="I226" s="1745" t="s">
        <v>1062</v>
      </c>
    </row>
    <row r="227" spans="1:9" ht="11.25" customHeight="1">
      <c r="A227" s="1745" t="s">
        <v>2444</v>
      </c>
      <c r="B227" s="1745" t="s">
        <v>3</v>
      </c>
      <c r="C227" s="1745" t="s">
        <v>2451</v>
      </c>
      <c r="D227" s="1745" t="s">
        <v>2452</v>
      </c>
      <c r="E227" s="1745" t="s">
        <v>2453</v>
      </c>
      <c r="F227" s="1745" t="s">
        <v>2454</v>
      </c>
      <c r="G227" s="1745" t="s">
        <v>15</v>
      </c>
      <c r="H227" s="1745" t="s">
        <v>15</v>
      </c>
      <c r="I227" s="1745" t="s">
        <v>1062</v>
      </c>
    </row>
    <row r="228" spans="1:9" ht="11.25" customHeight="1">
      <c r="A228" s="1745" t="s">
        <v>2444</v>
      </c>
      <c r="B228" s="1745" t="s">
        <v>3</v>
      </c>
      <c r="C228" s="1745" t="s">
        <v>2463</v>
      </c>
      <c r="D228" s="1745" t="s">
        <v>2464</v>
      </c>
      <c r="E228" s="1745" t="s">
        <v>2465</v>
      </c>
      <c r="F228" s="1745" t="s">
        <v>2466</v>
      </c>
      <c r="G228" s="1745" t="s">
        <v>15</v>
      </c>
      <c r="H228" s="1745" t="s">
        <v>15</v>
      </c>
      <c r="I228" s="1745" t="s">
        <v>1062</v>
      </c>
    </row>
    <row r="229" spans="1:9" ht="11.25" customHeight="1">
      <c r="A229" s="1745" t="s">
        <v>2444</v>
      </c>
      <c r="B229" s="1745" t="s">
        <v>3</v>
      </c>
      <c r="C229" s="1745" t="s">
        <v>2477</v>
      </c>
      <c r="D229" s="1745" t="s">
        <v>2478</v>
      </c>
      <c r="E229" s="1745" t="s">
        <v>2479</v>
      </c>
      <c r="F229" s="1745" t="s">
        <v>2480</v>
      </c>
      <c r="G229" s="1745" t="s">
        <v>15</v>
      </c>
      <c r="H229" s="1745" t="s">
        <v>15</v>
      </c>
      <c r="I229" s="1745" t="s">
        <v>1062</v>
      </c>
    </row>
    <row r="230" spans="1:9" ht="11.25" customHeight="1">
      <c r="A230" s="1745" t="s">
        <v>2444</v>
      </c>
      <c r="B230" s="1745" t="s">
        <v>3</v>
      </c>
      <c r="C230" s="1745" t="s">
        <v>2481</v>
      </c>
      <c r="D230" s="1745" t="s">
        <v>2482</v>
      </c>
      <c r="E230" s="1745" t="s">
        <v>2483</v>
      </c>
      <c r="F230" s="1745" t="s">
        <v>2484</v>
      </c>
      <c r="G230" s="1745" t="s">
        <v>15</v>
      </c>
      <c r="H230" s="1745" t="s">
        <v>15</v>
      </c>
      <c r="I230" s="1745" t="s">
        <v>1062</v>
      </c>
    </row>
    <row r="231" spans="1:9" ht="11.25" customHeight="1">
      <c r="A231" s="1745" t="s">
        <v>2444</v>
      </c>
      <c r="B231" s="1745" t="s">
        <v>3</v>
      </c>
      <c r="C231" s="1745" t="s">
        <v>2952</v>
      </c>
      <c r="D231" s="1745" t="s">
        <v>2953</v>
      </c>
      <c r="E231" s="1745" t="s">
        <v>2954</v>
      </c>
      <c r="F231" s="1745" t="s">
        <v>784</v>
      </c>
      <c r="G231" s="1745" t="s">
        <v>15</v>
      </c>
      <c r="H231" s="1745" t="s">
        <v>15</v>
      </c>
      <c r="I231" s="1745" t="s">
        <v>1062</v>
      </c>
    </row>
    <row r="232" spans="1:9" ht="11.25" customHeight="1">
      <c r="A232" s="1745" t="s">
        <v>2444</v>
      </c>
      <c r="B232" s="1745" t="s">
        <v>3</v>
      </c>
      <c r="C232" s="1745" t="s">
        <v>15</v>
      </c>
      <c r="D232" s="1745" t="s">
        <v>2546</v>
      </c>
      <c r="E232" s="1745" t="s">
        <v>2547</v>
      </c>
      <c r="F232" s="1745" t="s">
        <v>2491</v>
      </c>
      <c r="G232" s="1745" t="s">
        <v>15</v>
      </c>
      <c r="H232" s="1745" t="s">
        <v>15</v>
      </c>
      <c r="I232" s="1745" t="s">
        <v>1062</v>
      </c>
    </row>
    <row r="233" spans="1:9" ht="11.25" customHeight="1">
      <c r="A233" s="1745" t="s">
        <v>2444</v>
      </c>
      <c r="B233" s="1745" t="s">
        <v>3</v>
      </c>
      <c r="C233" s="1745" t="s">
        <v>2955</v>
      </c>
      <c r="D233" s="1745" t="s">
        <v>2956</v>
      </c>
      <c r="E233" s="1745" t="s">
        <v>2957</v>
      </c>
      <c r="F233" s="1745" t="s">
        <v>2544</v>
      </c>
      <c r="G233" s="1745" t="s">
        <v>15</v>
      </c>
      <c r="H233" s="1745" t="s">
        <v>15</v>
      </c>
      <c r="I233" s="1745" t="s">
        <v>1062</v>
      </c>
    </row>
    <row r="234" spans="1:9" ht="11.25" customHeight="1">
      <c r="A234" s="1745" t="s">
        <v>2444</v>
      </c>
      <c r="B234" s="1745" t="s">
        <v>3</v>
      </c>
      <c r="C234" s="1745" t="s">
        <v>2958</v>
      </c>
      <c r="D234" s="1745" t="s">
        <v>2959</v>
      </c>
      <c r="E234" s="1745" t="s">
        <v>2960</v>
      </c>
      <c r="F234" s="1745" t="s">
        <v>2673</v>
      </c>
      <c r="G234" s="1745" t="s">
        <v>2961</v>
      </c>
      <c r="H234" s="1745" t="s">
        <v>15</v>
      </c>
      <c r="I234" s="1745" t="s">
        <v>1062</v>
      </c>
    </row>
    <row r="235" spans="1:9" ht="11.25" customHeight="1">
      <c r="A235" s="1745" t="s">
        <v>2444</v>
      </c>
      <c r="B235" s="1745" t="s">
        <v>3</v>
      </c>
      <c r="C235" s="1745" t="s">
        <v>2548</v>
      </c>
      <c r="D235" s="1745" t="s">
        <v>2549</v>
      </c>
      <c r="E235" s="1745" t="s">
        <v>2550</v>
      </c>
      <c r="F235" s="1745" t="s">
        <v>2551</v>
      </c>
      <c r="G235" s="1745" t="s">
        <v>15</v>
      </c>
      <c r="H235" s="1745" t="s">
        <v>15</v>
      </c>
      <c r="I235" s="1745" t="s">
        <v>1062</v>
      </c>
    </row>
    <row r="236" spans="1:9" ht="11.25" customHeight="1">
      <c r="A236" s="1745" t="s">
        <v>2444</v>
      </c>
      <c r="B236" s="1745" t="s">
        <v>3</v>
      </c>
      <c r="C236" s="1745" t="s">
        <v>2962</v>
      </c>
      <c r="D236" s="1745" t="s">
        <v>2963</v>
      </c>
      <c r="E236" s="1745" t="s">
        <v>2964</v>
      </c>
      <c r="F236" s="1745" t="s">
        <v>2621</v>
      </c>
      <c r="G236" s="1745" t="s">
        <v>15</v>
      </c>
      <c r="H236" s="1745" t="s">
        <v>15</v>
      </c>
      <c r="I236" s="1745" t="s">
        <v>1062</v>
      </c>
    </row>
    <row r="237" spans="1:9" ht="11.25" customHeight="1">
      <c r="A237" s="1745" t="s">
        <v>2444</v>
      </c>
      <c r="B237" s="1745" t="s">
        <v>3</v>
      </c>
      <c r="C237" s="1745" t="s">
        <v>2965</v>
      </c>
      <c r="D237" s="1745" t="s">
        <v>2557</v>
      </c>
      <c r="E237" s="1745" t="s">
        <v>2966</v>
      </c>
      <c r="F237" s="1745" t="s">
        <v>2887</v>
      </c>
      <c r="G237" s="1745" t="s">
        <v>15</v>
      </c>
      <c r="H237" s="1745" t="s">
        <v>15</v>
      </c>
      <c r="I237" s="1745" t="s">
        <v>1062</v>
      </c>
    </row>
    <row r="238" spans="1:9" ht="11.25" customHeight="1">
      <c r="A238" s="1745" t="s">
        <v>2444</v>
      </c>
      <c r="B238" s="1745" t="s">
        <v>3</v>
      </c>
      <c r="C238" s="1745" t="s">
        <v>2556</v>
      </c>
      <c r="D238" s="1745" t="s">
        <v>2557</v>
      </c>
      <c r="E238" s="1745" t="s">
        <v>2558</v>
      </c>
      <c r="F238" s="1745" t="s">
        <v>2476</v>
      </c>
      <c r="G238" s="1745" t="s">
        <v>15</v>
      </c>
      <c r="H238" s="1745" t="s">
        <v>15</v>
      </c>
      <c r="I238" s="1745" t="s">
        <v>1062</v>
      </c>
    </row>
    <row r="239" spans="1:9" ht="11.25" customHeight="1">
      <c r="A239" s="1745" t="s">
        <v>2444</v>
      </c>
      <c r="B239" s="1745" t="s">
        <v>3</v>
      </c>
      <c r="C239" s="1745" t="s">
        <v>2967</v>
      </c>
      <c r="D239" s="1745" t="s">
        <v>2557</v>
      </c>
      <c r="E239" s="1745" t="s">
        <v>2968</v>
      </c>
      <c r="F239" s="1745" t="s">
        <v>2476</v>
      </c>
      <c r="G239" s="1745" t="s">
        <v>15</v>
      </c>
      <c r="H239" s="1745" t="s">
        <v>15</v>
      </c>
      <c r="I239" s="1745" t="s">
        <v>1062</v>
      </c>
    </row>
    <row r="240" spans="1:9" ht="11.25" customHeight="1">
      <c r="A240" s="1745" t="s">
        <v>2444</v>
      </c>
      <c r="B240" s="1745" t="s">
        <v>3</v>
      </c>
      <c r="C240" s="1745" t="s">
        <v>2969</v>
      </c>
      <c r="D240" s="1745" t="s">
        <v>2557</v>
      </c>
      <c r="E240" s="1745" t="s">
        <v>2970</v>
      </c>
      <c r="F240" s="1745" t="s">
        <v>2673</v>
      </c>
      <c r="G240" s="1745" t="s">
        <v>15</v>
      </c>
      <c r="H240" s="1745" t="s">
        <v>15</v>
      </c>
      <c r="I240" s="1745" t="s">
        <v>1062</v>
      </c>
    </row>
    <row r="241" spans="1:9" ht="11.25" customHeight="1">
      <c r="A241" s="1745" t="s">
        <v>2444</v>
      </c>
      <c r="B241" s="1745" t="s">
        <v>3</v>
      </c>
      <c r="C241" s="1745" t="s">
        <v>2971</v>
      </c>
      <c r="D241" s="1745" t="s">
        <v>2557</v>
      </c>
      <c r="E241" s="1745" t="s">
        <v>2972</v>
      </c>
      <c r="F241" s="1745" t="s">
        <v>2562</v>
      </c>
      <c r="G241" s="1745" t="s">
        <v>15</v>
      </c>
      <c r="H241" s="1745" t="s">
        <v>15</v>
      </c>
      <c r="I241" s="1745" t="s">
        <v>1062</v>
      </c>
    </row>
    <row r="242" spans="1:9" ht="11.25" customHeight="1">
      <c r="A242" s="1745" t="s">
        <v>2444</v>
      </c>
      <c r="B242" s="1745" t="s">
        <v>3</v>
      </c>
      <c r="C242" s="1745" t="s">
        <v>2973</v>
      </c>
      <c r="D242" s="1745" t="s">
        <v>2974</v>
      </c>
      <c r="E242" s="1745" t="s">
        <v>2975</v>
      </c>
      <c r="F242" s="1745" t="s">
        <v>2562</v>
      </c>
      <c r="G242" s="1745" t="s">
        <v>15</v>
      </c>
      <c r="H242" s="1745" t="s">
        <v>15</v>
      </c>
      <c r="I242" s="1745" t="s">
        <v>1062</v>
      </c>
    </row>
    <row r="243" spans="1:9" ht="11.25" customHeight="1">
      <c r="A243" s="1745" t="s">
        <v>2444</v>
      </c>
      <c r="B243" s="1745" t="s">
        <v>3</v>
      </c>
      <c r="C243" s="1745" t="s">
        <v>2976</v>
      </c>
      <c r="D243" s="1745" t="s">
        <v>2977</v>
      </c>
      <c r="E243" s="1745" t="s">
        <v>2978</v>
      </c>
      <c r="F243" s="1745" t="s">
        <v>2979</v>
      </c>
      <c r="G243" s="1745" t="s">
        <v>15</v>
      </c>
      <c r="H243" s="1745" t="s">
        <v>15</v>
      </c>
      <c r="I243" s="1745" t="s">
        <v>1062</v>
      </c>
    </row>
    <row r="244" spans="1:9" ht="11.25" customHeight="1">
      <c r="A244" s="1745" t="s">
        <v>2444</v>
      </c>
      <c r="B244" s="1745" t="s">
        <v>3</v>
      </c>
      <c r="C244" s="1745" t="s">
        <v>2980</v>
      </c>
      <c r="D244" s="1745" t="s">
        <v>2981</v>
      </c>
      <c r="E244" s="1745" t="s">
        <v>2982</v>
      </c>
      <c r="F244" s="1745" t="s">
        <v>2621</v>
      </c>
      <c r="G244" s="1745" t="s">
        <v>15</v>
      </c>
      <c r="H244" s="1745" t="s">
        <v>15</v>
      </c>
      <c r="I244" s="1745" t="s">
        <v>1062</v>
      </c>
    </row>
    <row r="245" spans="1:9" ht="11.25" customHeight="1">
      <c r="A245" s="1745" t="s">
        <v>2444</v>
      </c>
      <c r="B245" s="1745" t="s">
        <v>3</v>
      </c>
      <c r="C245" s="1745" t="s">
        <v>2983</v>
      </c>
      <c r="D245" s="1745" t="s">
        <v>2984</v>
      </c>
      <c r="E245" s="1745" t="s">
        <v>2985</v>
      </c>
      <c r="F245" s="1745" t="s">
        <v>2621</v>
      </c>
      <c r="G245" s="1745" t="s">
        <v>15</v>
      </c>
      <c r="H245" s="1745" t="s">
        <v>15</v>
      </c>
      <c r="I245" s="1745" t="s">
        <v>1062</v>
      </c>
    </row>
    <row r="246" spans="1:9" ht="11.25" customHeight="1">
      <c r="A246" s="1745" t="s">
        <v>2444</v>
      </c>
      <c r="B246" s="1745" t="s">
        <v>3</v>
      </c>
      <c r="C246" s="1745" t="s">
        <v>2986</v>
      </c>
      <c r="D246" s="1745" t="s">
        <v>2987</v>
      </c>
      <c r="E246" s="1745" t="s">
        <v>2988</v>
      </c>
      <c r="F246" s="1745" t="s">
        <v>2476</v>
      </c>
      <c r="G246" s="1745" t="s">
        <v>15</v>
      </c>
      <c r="H246" s="1745" t="s">
        <v>15</v>
      </c>
      <c r="I246" s="1745" t="s">
        <v>1062</v>
      </c>
    </row>
    <row r="247" spans="1:9" ht="11.25" customHeight="1">
      <c r="A247" s="1745" t="s">
        <v>2444</v>
      </c>
      <c r="B247" s="1745" t="s">
        <v>3</v>
      </c>
      <c r="C247" s="1745" t="s">
        <v>2989</v>
      </c>
      <c r="D247" s="1745" t="s">
        <v>2990</v>
      </c>
      <c r="E247" s="1745" t="s">
        <v>2991</v>
      </c>
      <c r="F247" s="1745" t="s">
        <v>2621</v>
      </c>
      <c r="G247" s="1745" t="s">
        <v>15</v>
      </c>
      <c r="H247" s="1745" t="s">
        <v>15</v>
      </c>
      <c r="I247" s="1745" t="s">
        <v>1062</v>
      </c>
    </row>
    <row r="248" spans="1:9" ht="11.25" customHeight="1">
      <c r="A248" s="1745" t="s">
        <v>2444</v>
      </c>
      <c r="B248" s="1745" t="s">
        <v>3</v>
      </c>
      <c r="C248" s="1745" t="s">
        <v>2992</v>
      </c>
      <c r="D248" s="1745" t="s">
        <v>2560</v>
      </c>
      <c r="E248" s="1745" t="s">
        <v>2993</v>
      </c>
      <c r="F248" s="1745" t="s">
        <v>2621</v>
      </c>
      <c r="G248" s="1745" t="s">
        <v>15</v>
      </c>
      <c r="H248" s="1745" t="s">
        <v>15</v>
      </c>
      <c r="I248" s="1745" t="s">
        <v>1062</v>
      </c>
    </row>
    <row r="249" spans="1:9" ht="11.25" customHeight="1">
      <c r="A249" s="1745" t="s">
        <v>2444</v>
      </c>
      <c r="B249" s="1745" t="s">
        <v>3</v>
      </c>
      <c r="C249" s="1745" t="s">
        <v>2994</v>
      </c>
      <c r="D249" s="1745" t="s">
        <v>2560</v>
      </c>
      <c r="E249" s="1745" t="s">
        <v>2995</v>
      </c>
      <c r="F249" s="1745" t="s">
        <v>2673</v>
      </c>
      <c r="G249" s="1745" t="s">
        <v>15</v>
      </c>
      <c r="H249" s="1745" t="s">
        <v>15</v>
      </c>
      <c r="I249" s="1745" t="s">
        <v>1062</v>
      </c>
    </row>
    <row r="250" spans="1:9" ht="11.25" customHeight="1">
      <c r="A250" s="1745" t="s">
        <v>2444</v>
      </c>
      <c r="B250" s="1745" t="s">
        <v>3</v>
      </c>
      <c r="C250" s="1745" t="s">
        <v>2559</v>
      </c>
      <c r="D250" s="1745" t="s">
        <v>2560</v>
      </c>
      <c r="E250" s="1745" t="s">
        <v>2561</v>
      </c>
      <c r="F250" s="1745" t="s">
        <v>2562</v>
      </c>
      <c r="G250" s="1745" t="s">
        <v>15</v>
      </c>
      <c r="H250" s="1745" t="s">
        <v>15</v>
      </c>
      <c r="I250" s="1745" t="s">
        <v>1062</v>
      </c>
    </row>
    <row r="251" spans="1:9" ht="11.25" customHeight="1">
      <c r="A251" s="1745" t="s">
        <v>2444</v>
      </c>
      <c r="B251" s="1745" t="s">
        <v>3</v>
      </c>
      <c r="C251" s="1745" t="s">
        <v>2996</v>
      </c>
      <c r="D251" s="1745" t="s">
        <v>2997</v>
      </c>
      <c r="E251" s="1745" t="s">
        <v>2998</v>
      </c>
      <c r="F251" s="1745" t="s">
        <v>2466</v>
      </c>
      <c r="G251" s="1745" t="s">
        <v>2999</v>
      </c>
      <c r="H251" s="1745" t="s">
        <v>15</v>
      </c>
      <c r="I251" s="1745" t="s">
        <v>1062</v>
      </c>
    </row>
    <row r="252" spans="1:9" ht="11.25" customHeight="1">
      <c r="A252" s="1745" t="s">
        <v>2444</v>
      </c>
      <c r="B252" s="1745" t="s">
        <v>3</v>
      </c>
      <c r="C252" s="1745" t="s">
        <v>3000</v>
      </c>
      <c r="D252" s="1745" t="s">
        <v>3001</v>
      </c>
      <c r="E252" s="1745" t="s">
        <v>3002</v>
      </c>
      <c r="F252" s="1745" t="s">
        <v>2621</v>
      </c>
      <c r="G252" s="1745" t="s">
        <v>15</v>
      </c>
      <c r="H252" s="1745" t="s">
        <v>15</v>
      </c>
      <c r="I252" s="1745" t="s">
        <v>1062</v>
      </c>
    </row>
    <row r="253" spans="1:9" ht="11.25" customHeight="1">
      <c r="A253" s="1745" t="s">
        <v>2444</v>
      </c>
      <c r="B253" s="1745" t="s">
        <v>3</v>
      </c>
      <c r="C253" s="1745" t="s">
        <v>3003</v>
      </c>
      <c r="D253" s="1745" t="s">
        <v>3004</v>
      </c>
      <c r="E253" s="1745" t="s">
        <v>3005</v>
      </c>
      <c r="F253" s="1745" t="s">
        <v>2466</v>
      </c>
      <c r="G253" s="1745" t="s">
        <v>15</v>
      </c>
      <c r="H253" s="1745" t="s">
        <v>15</v>
      </c>
      <c r="I253" s="1745" t="s">
        <v>1062</v>
      </c>
    </row>
    <row r="254" spans="1:9" ht="11.25" customHeight="1">
      <c r="A254" s="1745" t="s">
        <v>2444</v>
      </c>
      <c r="B254" s="1745" t="s">
        <v>3</v>
      </c>
      <c r="C254" s="1745" t="s">
        <v>3006</v>
      </c>
      <c r="D254" s="1745" t="s">
        <v>3007</v>
      </c>
      <c r="E254" s="1745" t="s">
        <v>3008</v>
      </c>
      <c r="F254" s="1745" t="s">
        <v>3009</v>
      </c>
      <c r="G254" s="1745" t="s">
        <v>15</v>
      </c>
      <c r="H254" s="1745" t="s">
        <v>15</v>
      </c>
      <c r="I254" s="1745" t="s">
        <v>1062</v>
      </c>
    </row>
    <row r="255" spans="1:9" ht="11.25" customHeight="1">
      <c r="A255" s="1745" t="s">
        <v>2444</v>
      </c>
      <c r="B255" s="1745" t="s">
        <v>3</v>
      </c>
      <c r="C255" s="1745" t="s">
        <v>2563</v>
      </c>
      <c r="D255" s="1745" t="s">
        <v>2564</v>
      </c>
      <c r="E255" s="1745" t="s">
        <v>2565</v>
      </c>
      <c r="F255" s="1745" t="s">
        <v>2566</v>
      </c>
      <c r="G255" s="1745" t="s">
        <v>15</v>
      </c>
      <c r="H255" s="1745" t="s">
        <v>15</v>
      </c>
      <c r="I255" s="1745" t="s">
        <v>1062</v>
      </c>
    </row>
    <row r="256" spans="1:9" ht="11.25" customHeight="1">
      <c r="A256" s="1745" t="s">
        <v>2444</v>
      </c>
      <c r="B256" s="1745" t="s">
        <v>3</v>
      </c>
      <c r="C256" s="1745" t="s">
        <v>3010</v>
      </c>
      <c r="D256" s="1745" t="s">
        <v>3011</v>
      </c>
      <c r="E256" s="1745" t="s">
        <v>3012</v>
      </c>
      <c r="F256" s="1745" t="s">
        <v>2673</v>
      </c>
      <c r="G256" s="1745" t="s">
        <v>3013</v>
      </c>
      <c r="H256" s="1745" t="s">
        <v>15</v>
      </c>
      <c r="I256" s="1745" t="s">
        <v>1062</v>
      </c>
    </row>
    <row r="257" spans="1:9" ht="11.25" customHeight="1">
      <c r="A257" s="1745" t="s">
        <v>2444</v>
      </c>
      <c r="B257" s="1745" t="s">
        <v>3</v>
      </c>
      <c r="C257" s="1745" t="s">
        <v>2567</v>
      </c>
      <c r="D257" s="1745" t="s">
        <v>2568</v>
      </c>
      <c r="E257" s="1745" t="s">
        <v>2569</v>
      </c>
      <c r="F257" s="1745" t="s">
        <v>2570</v>
      </c>
      <c r="G257" s="1745" t="s">
        <v>15</v>
      </c>
      <c r="H257" s="1745" t="s">
        <v>15</v>
      </c>
      <c r="I257" s="1745" t="s">
        <v>1062</v>
      </c>
    </row>
    <row r="258" spans="1:9" ht="11.25" customHeight="1">
      <c r="A258" s="1745" t="s">
        <v>2444</v>
      </c>
      <c r="B258" s="1745" t="s">
        <v>3</v>
      </c>
      <c r="C258" s="1745" t="s">
        <v>3014</v>
      </c>
      <c r="D258" s="1745" t="s">
        <v>3015</v>
      </c>
      <c r="E258" s="1745" t="s">
        <v>3016</v>
      </c>
      <c r="F258" s="1745" t="s">
        <v>2979</v>
      </c>
      <c r="G258" s="1745" t="s">
        <v>15</v>
      </c>
      <c r="H258" s="1745" t="s">
        <v>15</v>
      </c>
      <c r="I258" s="1745" t="s">
        <v>1062</v>
      </c>
    </row>
    <row r="259" spans="1:9" ht="11.25" customHeight="1">
      <c r="A259" s="1745" t="s">
        <v>2444</v>
      </c>
      <c r="B259" s="1745" t="s">
        <v>3</v>
      </c>
      <c r="C259" s="1745" t="s">
        <v>2571</v>
      </c>
      <c r="D259" s="1745" t="s">
        <v>2572</v>
      </c>
      <c r="E259" s="1745" t="s">
        <v>2573</v>
      </c>
      <c r="F259" s="1745" t="s">
        <v>2566</v>
      </c>
      <c r="G259" s="1745" t="s">
        <v>15</v>
      </c>
      <c r="H259" s="1745" t="s">
        <v>15</v>
      </c>
      <c r="I259" s="1745" t="s">
        <v>1062</v>
      </c>
    </row>
    <row r="260" spans="1:9" ht="11.25" customHeight="1">
      <c r="A260" s="1745" t="s">
        <v>2444</v>
      </c>
      <c r="B260" s="1745" t="s">
        <v>3</v>
      </c>
      <c r="C260" s="1745" t="s">
        <v>3017</v>
      </c>
      <c r="D260" s="1745" t="s">
        <v>3018</v>
      </c>
      <c r="E260" s="1745" t="s">
        <v>3019</v>
      </c>
      <c r="F260" s="1745" t="s">
        <v>2562</v>
      </c>
      <c r="G260" s="1745" t="s">
        <v>15</v>
      </c>
      <c r="H260" s="1745" t="s">
        <v>15</v>
      </c>
      <c r="I260" s="1745" t="s">
        <v>1062</v>
      </c>
    </row>
    <row r="261" spans="1:9" ht="11.25" customHeight="1">
      <c r="A261" s="1745" t="s">
        <v>2444</v>
      </c>
      <c r="B261" s="1745" t="s">
        <v>3</v>
      </c>
      <c r="C261" s="1745" t="s">
        <v>2574</v>
      </c>
      <c r="D261" s="1745" t="s">
        <v>2575</v>
      </c>
      <c r="E261" s="1745" t="s">
        <v>2576</v>
      </c>
      <c r="F261" s="1745" t="s">
        <v>2466</v>
      </c>
      <c r="G261" s="1745" t="s">
        <v>15</v>
      </c>
      <c r="H261" s="1745" t="s">
        <v>15</v>
      </c>
      <c r="I261" s="1745" t="s">
        <v>1062</v>
      </c>
    </row>
    <row r="262" spans="1:9" ht="11.25" customHeight="1">
      <c r="A262" s="1745" t="s">
        <v>2444</v>
      </c>
      <c r="B262" s="1745" t="s">
        <v>3</v>
      </c>
      <c r="C262" s="1745" t="s">
        <v>2577</v>
      </c>
      <c r="D262" s="1745" t="s">
        <v>2578</v>
      </c>
      <c r="E262" s="1745" t="s">
        <v>2579</v>
      </c>
      <c r="F262" s="1745" t="s">
        <v>2580</v>
      </c>
      <c r="G262" s="1745" t="s">
        <v>2581</v>
      </c>
      <c r="H262" s="1745" t="s">
        <v>15</v>
      </c>
      <c r="I262" s="1745" t="s">
        <v>1062</v>
      </c>
    </row>
    <row r="263" spans="1:9" ht="11.25" customHeight="1">
      <c r="A263" s="1745" t="s">
        <v>2444</v>
      </c>
      <c r="B263" s="1745" t="s">
        <v>3</v>
      </c>
      <c r="C263" s="1745" t="s">
        <v>2582</v>
      </c>
      <c r="D263" s="1745" t="s">
        <v>2583</v>
      </c>
      <c r="E263" s="1745" t="s">
        <v>2584</v>
      </c>
      <c r="F263" s="1745" t="s">
        <v>2500</v>
      </c>
      <c r="G263" s="1745" t="s">
        <v>15</v>
      </c>
      <c r="H263" s="1745" t="s">
        <v>15</v>
      </c>
      <c r="I263" s="1745" t="s">
        <v>1062</v>
      </c>
    </row>
    <row r="264" spans="1:9" ht="11.25" customHeight="1">
      <c r="A264" s="1745" t="s">
        <v>2444</v>
      </c>
      <c r="B264" s="1745" t="s">
        <v>3</v>
      </c>
      <c r="C264" s="1745" t="s">
        <v>2585</v>
      </c>
      <c r="D264" s="1745" t="s">
        <v>2583</v>
      </c>
      <c r="E264" s="1745" t="s">
        <v>2586</v>
      </c>
      <c r="F264" s="1745" t="s">
        <v>2500</v>
      </c>
      <c r="G264" s="1745" t="s">
        <v>15</v>
      </c>
      <c r="H264" s="1745" t="s">
        <v>15</v>
      </c>
      <c r="I264" s="1745" t="s">
        <v>1062</v>
      </c>
    </row>
    <row r="265" spans="1:9" ht="11.25" customHeight="1">
      <c r="A265" s="1745" t="s">
        <v>2444</v>
      </c>
      <c r="B265" s="1745" t="s">
        <v>3</v>
      </c>
      <c r="C265" s="1745" t="s">
        <v>3020</v>
      </c>
      <c r="D265" s="1745" t="s">
        <v>2583</v>
      </c>
      <c r="E265" s="1745" t="s">
        <v>3021</v>
      </c>
      <c r="F265" s="1745" t="s">
        <v>2979</v>
      </c>
      <c r="G265" s="1745" t="s">
        <v>15</v>
      </c>
      <c r="H265" s="1745" t="s">
        <v>15</v>
      </c>
      <c r="I265" s="1745" t="s">
        <v>1062</v>
      </c>
    </row>
    <row r="266" spans="1:9" ht="11.25" customHeight="1">
      <c r="A266" s="1745" t="s">
        <v>2444</v>
      </c>
      <c r="B266" s="1745" t="s">
        <v>3</v>
      </c>
      <c r="C266" s="1745" t="s">
        <v>2587</v>
      </c>
      <c r="D266" s="1745" t="s">
        <v>2588</v>
      </c>
      <c r="E266" s="1745" t="s">
        <v>2589</v>
      </c>
      <c r="F266" s="1745" t="s">
        <v>2590</v>
      </c>
      <c r="G266" s="1745" t="s">
        <v>15</v>
      </c>
      <c r="H266" s="1745" t="s">
        <v>15</v>
      </c>
      <c r="I266" s="1745" t="s">
        <v>1062</v>
      </c>
    </row>
    <row r="267" spans="1:9" ht="11.25" customHeight="1">
      <c r="A267" s="1745" t="s">
        <v>2444</v>
      </c>
      <c r="B267" s="1745" t="s">
        <v>3</v>
      </c>
      <c r="C267" s="1745" t="s">
        <v>2591</v>
      </c>
      <c r="D267" s="1745" t="s">
        <v>2588</v>
      </c>
      <c r="E267" s="1745" t="s">
        <v>2592</v>
      </c>
      <c r="F267" s="1745" t="s">
        <v>2593</v>
      </c>
      <c r="G267" s="1745" t="s">
        <v>15</v>
      </c>
      <c r="H267" s="1745" t="s">
        <v>15</v>
      </c>
      <c r="I267" s="1745" t="s">
        <v>1062</v>
      </c>
    </row>
    <row r="268" spans="1:9" ht="11.25" customHeight="1">
      <c r="A268" s="1745" t="s">
        <v>2444</v>
      </c>
      <c r="B268" s="1745" t="s">
        <v>3</v>
      </c>
      <c r="C268" s="1745" t="s">
        <v>2594</v>
      </c>
      <c r="D268" s="1745" t="s">
        <v>2588</v>
      </c>
      <c r="E268" s="1745" t="s">
        <v>2595</v>
      </c>
      <c r="F268" s="1745" t="s">
        <v>2596</v>
      </c>
      <c r="G268" s="1745" t="s">
        <v>15</v>
      </c>
      <c r="H268" s="1745" t="s">
        <v>15</v>
      </c>
      <c r="I268" s="1745" t="s">
        <v>1062</v>
      </c>
    </row>
    <row r="269" spans="1:9" ht="11.25" customHeight="1">
      <c r="A269" s="1745" t="s">
        <v>2444</v>
      </c>
      <c r="B269" s="1745" t="s">
        <v>3</v>
      </c>
      <c r="C269" s="1745" t="s">
        <v>2597</v>
      </c>
      <c r="D269" s="1745" t="s">
        <v>2588</v>
      </c>
      <c r="E269" s="1745" t="s">
        <v>2598</v>
      </c>
      <c r="F269" s="1745" t="s">
        <v>2570</v>
      </c>
      <c r="G269" s="1745" t="s">
        <v>15</v>
      </c>
      <c r="H269" s="1745" t="s">
        <v>15</v>
      </c>
      <c r="I269" s="1745" t="s">
        <v>1062</v>
      </c>
    </row>
    <row r="270" spans="1:9" ht="11.25" customHeight="1">
      <c r="A270" s="1745" t="s">
        <v>2444</v>
      </c>
      <c r="B270" s="1745" t="s">
        <v>3</v>
      </c>
      <c r="C270" s="1745" t="s">
        <v>2599</v>
      </c>
      <c r="D270" s="1745" t="s">
        <v>2600</v>
      </c>
      <c r="E270" s="1745" t="s">
        <v>2601</v>
      </c>
      <c r="F270" s="1745" t="s">
        <v>2500</v>
      </c>
      <c r="G270" s="1745" t="s">
        <v>15</v>
      </c>
      <c r="H270" s="1745" t="s">
        <v>15</v>
      </c>
      <c r="I270" s="1745" t="s">
        <v>1062</v>
      </c>
    </row>
    <row r="271" spans="1:9" ht="11.25" customHeight="1">
      <c r="A271" s="1745" t="s">
        <v>2444</v>
      </c>
      <c r="B271" s="1745" t="s">
        <v>3</v>
      </c>
      <c r="C271" s="1745" t="s">
        <v>3022</v>
      </c>
      <c r="D271" s="1745" t="s">
        <v>3023</v>
      </c>
      <c r="E271" s="1745" t="s">
        <v>3024</v>
      </c>
      <c r="F271" s="1745" t="s">
        <v>2562</v>
      </c>
      <c r="G271" s="1745" t="s">
        <v>15</v>
      </c>
      <c r="H271" s="1745" t="s">
        <v>15</v>
      </c>
      <c r="I271" s="1745" t="s">
        <v>1062</v>
      </c>
    </row>
    <row r="272" spans="1:9" ht="11.25" customHeight="1">
      <c r="A272" s="1745" t="s">
        <v>2444</v>
      </c>
      <c r="B272" s="1745" t="s">
        <v>3</v>
      </c>
      <c r="C272" s="1745" t="s">
        <v>2602</v>
      </c>
      <c r="D272" s="1745" t="s">
        <v>2603</v>
      </c>
      <c r="E272" s="1745" t="s">
        <v>2604</v>
      </c>
      <c r="F272" s="1745" t="s">
        <v>2466</v>
      </c>
      <c r="G272" s="1745" t="s">
        <v>15</v>
      </c>
      <c r="H272" s="1745" t="s">
        <v>15</v>
      </c>
      <c r="I272" s="1745" t="s">
        <v>1062</v>
      </c>
    </row>
    <row r="273" spans="1:9" ht="11.25" customHeight="1">
      <c r="A273" s="1745" t="s">
        <v>2444</v>
      </c>
      <c r="B273" s="1745" t="s">
        <v>3</v>
      </c>
      <c r="C273" s="1745" t="s">
        <v>3025</v>
      </c>
      <c r="D273" s="1745" t="s">
        <v>3026</v>
      </c>
      <c r="E273" s="1745" t="s">
        <v>3027</v>
      </c>
      <c r="F273" s="1745" t="s">
        <v>2476</v>
      </c>
      <c r="G273" s="1745" t="s">
        <v>15</v>
      </c>
      <c r="H273" s="1745" t="s">
        <v>15</v>
      </c>
      <c r="I273" s="1745" t="s">
        <v>1062</v>
      </c>
    </row>
    <row r="274" spans="1:9" ht="11.25" customHeight="1">
      <c r="A274" s="1745" t="s">
        <v>2444</v>
      </c>
      <c r="B274" s="1745" t="s">
        <v>3</v>
      </c>
      <c r="C274" s="1745" t="s">
        <v>2605</v>
      </c>
      <c r="D274" s="1745" t="s">
        <v>2606</v>
      </c>
      <c r="E274" s="1745" t="s">
        <v>2607</v>
      </c>
      <c r="F274" s="1745" t="s">
        <v>2476</v>
      </c>
      <c r="G274" s="1745" t="s">
        <v>15</v>
      </c>
      <c r="H274" s="1745" t="s">
        <v>15</v>
      </c>
      <c r="I274" s="1745" t="s">
        <v>1062</v>
      </c>
    </row>
    <row r="275" spans="1:9" ht="11.25" customHeight="1">
      <c r="A275" s="1745" t="s">
        <v>2444</v>
      </c>
      <c r="B275" s="1745" t="s">
        <v>3</v>
      </c>
      <c r="C275" s="1745" t="s">
        <v>3028</v>
      </c>
      <c r="D275" s="1745" t="s">
        <v>3029</v>
      </c>
      <c r="E275" s="1745" t="s">
        <v>3030</v>
      </c>
      <c r="F275" s="1745" t="s">
        <v>2562</v>
      </c>
      <c r="G275" s="1745" t="s">
        <v>3031</v>
      </c>
      <c r="H275" s="1745" t="s">
        <v>15</v>
      </c>
      <c r="I275" s="1745" t="s">
        <v>1062</v>
      </c>
    </row>
    <row r="276" spans="1:9" ht="11.25" customHeight="1">
      <c r="A276" s="1745" t="s">
        <v>2444</v>
      </c>
      <c r="B276" s="1745" t="s">
        <v>3</v>
      </c>
      <c r="C276" s="1745" t="s">
        <v>3032</v>
      </c>
      <c r="D276" s="1745" t="s">
        <v>3033</v>
      </c>
      <c r="E276" s="1745" t="s">
        <v>3034</v>
      </c>
      <c r="F276" s="1745" t="s">
        <v>2476</v>
      </c>
      <c r="G276" s="1745" t="s">
        <v>15</v>
      </c>
      <c r="H276" s="1745" t="s">
        <v>15</v>
      </c>
      <c r="I276" s="1745" t="s">
        <v>1062</v>
      </c>
    </row>
    <row r="277" spans="1:9" ht="11.25" customHeight="1">
      <c r="A277" s="1745" t="s">
        <v>2444</v>
      </c>
      <c r="B277" s="1745" t="s">
        <v>3</v>
      </c>
      <c r="C277" s="1745" t="s">
        <v>3035</v>
      </c>
      <c r="D277" s="1745" t="s">
        <v>3036</v>
      </c>
      <c r="E277" s="1745" t="s">
        <v>3037</v>
      </c>
      <c r="F277" s="1745" t="s">
        <v>2476</v>
      </c>
      <c r="G277" s="1745" t="s">
        <v>15</v>
      </c>
      <c r="H277" s="1745" t="s">
        <v>15</v>
      </c>
      <c r="I277" s="1745" t="s">
        <v>1062</v>
      </c>
    </row>
    <row r="278" spans="1:9" ht="11.25" customHeight="1">
      <c r="A278" s="1745" t="s">
        <v>2444</v>
      </c>
      <c r="B278" s="1745" t="s">
        <v>3</v>
      </c>
      <c r="C278" s="1745" t="s">
        <v>2608</v>
      </c>
      <c r="D278" s="1745" t="s">
        <v>2609</v>
      </c>
      <c r="E278" s="1745" t="s">
        <v>2610</v>
      </c>
      <c r="F278" s="1745" t="s">
        <v>2466</v>
      </c>
      <c r="G278" s="1745" t="s">
        <v>2611</v>
      </c>
      <c r="H278" s="1745" t="s">
        <v>15</v>
      </c>
      <c r="I278" s="1745" t="s">
        <v>1062</v>
      </c>
    </row>
    <row r="279" spans="1:9" ht="11.25" customHeight="1">
      <c r="A279" s="1745" t="s">
        <v>2444</v>
      </c>
      <c r="B279" s="1745" t="s">
        <v>3</v>
      </c>
      <c r="C279" s="1745" t="s">
        <v>3038</v>
      </c>
      <c r="D279" s="1745" t="s">
        <v>3039</v>
      </c>
      <c r="E279" s="1745" t="s">
        <v>3040</v>
      </c>
      <c r="F279" s="1745" t="s">
        <v>2979</v>
      </c>
      <c r="G279" s="1745" t="s">
        <v>15</v>
      </c>
      <c r="H279" s="1745" t="s">
        <v>15</v>
      </c>
      <c r="I279" s="1745" t="s">
        <v>1062</v>
      </c>
    </row>
    <row r="280" spans="1:9" ht="11.25" customHeight="1">
      <c r="A280" s="1745" t="s">
        <v>2444</v>
      </c>
      <c r="B280" s="1745" t="s">
        <v>3</v>
      </c>
      <c r="C280" s="1745" t="s">
        <v>3041</v>
      </c>
      <c r="D280" s="1745" t="s">
        <v>3042</v>
      </c>
      <c r="E280" s="1745" t="s">
        <v>3043</v>
      </c>
      <c r="F280" s="1745" t="s">
        <v>2544</v>
      </c>
      <c r="G280" s="1745" t="s">
        <v>3044</v>
      </c>
      <c r="H280" s="1745" t="s">
        <v>15</v>
      </c>
      <c r="I280" s="1745" t="s">
        <v>1062</v>
      </c>
    </row>
    <row r="281" spans="1:9" ht="11.25" customHeight="1">
      <c r="A281" s="1745" t="s">
        <v>2444</v>
      </c>
      <c r="B281" s="1745" t="s">
        <v>3</v>
      </c>
      <c r="C281" s="1745" t="s">
        <v>3045</v>
      </c>
      <c r="D281" s="1745" t="s">
        <v>3046</v>
      </c>
      <c r="E281" s="1745" t="s">
        <v>3047</v>
      </c>
      <c r="F281" s="1745" t="s">
        <v>2540</v>
      </c>
      <c r="G281" s="1745" t="s">
        <v>15</v>
      </c>
      <c r="H281" s="1745" t="s">
        <v>15</v>
      </c>
      <c r="I281" s="1745" t="s">
        <v>1062</v>
      </c>
    </row>
    <row r="282" spans="1:9" ht="11.25" customHeight="1">
      <c r="A282" s="1745" t="s">
        <v>2444</v>
      </c>
      <c r="B282" s="1745" t="s">
        <v>3</v>
      </c>
      <c r="C282" s="1745" t="s">
        <v>2612</v>
      </c>
      <c r="D282" s="1745" t="s">
        <v>2613</v>
      </c>
      <c r="E282" s="1745" t="s">
        <v>2614</v>
      </c>
      <c r="F282" s="1745" t="s">
        <v>2551</v>
      </c>
      <c r="G282" s="1745" t="s">
        <v>15</v>
      </c>
      <c r="H282" s="1745" t="s">
        <v>15</v>
      </c>
      <c r="I282" s="1745" t="s">
        <v>1062</v>
      </c>
    </row>
    <row r="283" spans="1:9" ht="11.25" customHeight="1">
      <c r="A283" s="1745" t="s">
        <v>2444</v>
      </c>
      <c r="B283" s="1745" t="s">
        <v>3</v>
      </c>
      <c r="C283" s="1745" t="s">
        <v>3048</v>
      </c>
      <c r="D283" s="1745" t="s">
        <v>3049</v>
      </c>
      <c r="E283" s="1745" t="s">
        <v>3050</v>
      </c>
      <c r="F283" s="1745" t="s">
        <v>2466</v>
      </c>
      <c r="G283" s="1745" t="s">
        <v>15</v>
      </c>
      <c r="H283" s="1745" t="s">
        <v>15</v>
      </c>
      <c r="I283" s="1745" t="s">
        <v>1062</v>
      </c>
    </row>
    <row r="284" spans="1:9" ht="11.25" customHeight="1">
      <c r="A284" s="1745" t="s">
        <v>2444</v>
      </c>
      <c r="B284" s="1745" t="s">
        <v>3</v>
      </c>
      <c r="C284" s="1745" t="s">
        <v>3051</v>
      </c>
      <c r="D284" s="1745" t="s">
        <v>3052</v>
      </c>
      <c r="E284" s="1745" t="s">
        <v>3053</v>
      </c>
      <c r="F284" s="1745" t="s">
        <v>2466</v>
      </c>
      <c r="G284" s="1745" t="s">
        <v>15</v>
      </c>
      <c r="H284" s="1745" t="s">
        <v>15</v>
      </c>
      <c r="I284" s="1745" t="s">
        <v>1062</v>
      </c>
    </row>
    <row r="285" spans="1:9" ht="11.25" customHeight="1">
      <c r="A285" s="1745" t="s">
        <v>2444</v>
      </c>
      <c r="B285" s="1745" t="s">
        <v>3</v>
      </c>
      <c r="C285" s="1745" t="s">
        <v>3054</v>
      </c>
      <c r="D285" s="1745" t="s">
        <v>3055</v>
      </c>
      <c r="E285" s="1745" t="s">
        <v>3056</v>
      </c>
      <c r="F285" s="1745" t="s">
        <v>2562</v>
      </c>
      <c r="G285" s="1745" t="s">
        <v>15</v>
      </c>
      <c r="H285" s="1745" t="s">
        <v>15</v>
      </c>
      <c r="I285" s="1745" t="s">
        <v>1062</v>
      </c>
    </row>
    <row r="286" spans="1:9" ht="11.25" customHeight="1">
      <c r="A286" s="1745" t="s">
        <v>2444</v>
      </c>
      <c r="B286" s="1745" t="s">
        <v>3</v>
      </c>
      <c r="C286" s="1745" t="s">
        <v>2618</v>
      </c>
      <c r="D286" s="1745" t="s">
        <v>2619</v>
      </c>
      <c r="E286" s="1745" t="s">
        <v>2620</v>
      </c>
      <c r="F286" s="1745" t="s">
        <v>2621</v>
      </c>
      <c r="G286" s="1745" t="s">
        <v>15</v>
      </c>
      <c r="H286" s="1745" t="s">
        <v>15</v>
      </c>
      <c r="I286" s="1745" t="s">
        <v>1062</v>
      </c>
    </row>
    <row r="287" spans="1:9" ht="11.25" customHeight="1">
      <c r="A287" s="1745" t="s">
        <v>2444</v>
      </c>
      <c r="B287" s="1745" t="s">
        <v>3</v>
      </c>
      <c r="C287" s="1745" t="s">
        <v>2622</v>
      </c>
      <c r="D287" s="1745" t="s">
        <v>2623</v>
      </c>
      <c r="E287" s="1745" t="s">
        <v>2624</v>
      </c>
      <c r="F287" s="1745" t="s">
        <v>2562</v>
      </c>
      <c r="G287" s="1745" t="s">
        <v>2625</v>
      </c>
      <c r="H287" s="1745" t="s">
        <v>15</v>
      </c>
      <c r="I287" s="1745" t="s">
        <v>1062</v>
      </c>
    </row>
    <row r="288" spans="1:9" ht="11.25" customHeight="1">
      <c r="A288" s="1745" t="s">
        <v>2444</v>
      </c>
      <c r="B288" s="1745" t="s">
        <v>3</v>
      </c>
      <c r="C288" s="1745" t="s">
        <v>2626</v>
      </c>
      <c r="D288" s="1745" t="s">
        <v>2627</v>
      </c>
      <c r="E288" s="1745" t="s">
        <v>2628</v>
      </c>
      <c r="F288" s="1745" t="s">
        <v>2466</v>
      </c>
      <c r="G288" s="1745" t="s">
        <v>15</v>
      </c>
      <c r="H288" s="1745" t="s">
        <v>15</v>
      </c>
      <c r="I288" s="1745" t="s">
        <v>1062</v>
      </c>
    </row>
    <row r="289" spans="1:9" ht="11.25" customHeight="1">
      <c r="A289" s="1745" t="s">
        <v>2444</v>
      </c>
      <c r="B289" s="1745" t="s">
        <v>3</v>
      </c>
      <c r="C289" s="1745" t="s">
        <v>3057</v>
      </c>
      <c r="D289" s="1745" t="s">
        <v>3058</v>
      </c>
      <c r="E289" s="1745" t="s">
        <v>3059</v>
      </c>
      <c r="F289" s="1745" t="s">
        <v>2544</v>
      </c>
      <c r="G289" s="1745" t="s">
        <v>3060</v>
      </c>
      <c r="H289" s="1745" t="s">
        <v>15</v>
      </c>
      <c r="I289" s="1745" t="s">
        <v>1062</v>
      </c>
    </row>
    <row r="290" spans="1:9" ht="11.25" customHeight="1">
      <c r="A290" s="1745" t="s">
        <v>2444</v>
      </c>
      <c r="B290" s="1745" t="s">
        <v>3</v>
      </c>
      <c r="C290" s="1745" t="s">
        <v>3061</v>
      </c>
      <c r="D290" s="1745" t="s">
        <v>3062</v>
      </c>
      <c r="E290" s="1745" t="s">
        <v>3063</v>
      </c>
      <c r="F290" s="1745" t="s">
        <v>2544</v>
      </c>
      <c r="G290" s="1745" t="s">
        <v>15</v>
      </c>
      <c r="H290" s="1745" t="s">
        <v>15</v>
      </c>
      <c r="I290" s="1745" t="s">
        <v>1062</v>
      </c>
    </row>
    <row r="291" spans="1:9" ht="11.25" customHeight="1">
      <c r="A291" s="1745" t="s">
        <v>2444</v>
      </c>
      <c r="B291" s="1745" t="s">
        <v>3</v>
      </c>
      <c r="C291" s="1745" t="s">
        <v>3064</v>
      </c>
      <c r="D291" s="1745" t="s">
        <v>3065</v>
      </c>
      <c r="E291" s="1745" t="s">
        <v>3066</v>
      </c>
      <c r="F291" s="1745" t="s">
        <v>2621</v>
      </c>
      <c r="G291" s="1745" t="s">
        <v>15</v>
      </c>
      <c r="H291" s="1745" t="s">
        <v>15</v>
      </c>
      <c r="I291" s="1745" t="s">
        <v>1062</v>
      </c>
    </row>
    <row r="292" spans="1:9" ht="11.25" customHeight="1">
      <c r="A292" s="1745" t="s">
        <v>2444</v>
      </c>
      <c r="B292" s="1745" t="s">
        <v>3</v>
      </c>
      <c r="C292" s="1745" t="s">
        <v>2634</v>
      </c>
      <c r="D292" s="1745" t="s">
        <v>2635</v>
      </c>
      <c r="E292" s="1745" t="s">
        <v>2636</v>
      </c>
      <c r="F292" s="1745" t="s">
        <v>2637</v>
      </c>
      <c r="G292" s="1745" t="s">
        <v>15</v>
      </c>
      <c r="H292" s="1745" t="s">
        <v>15</v>
      </c>
      <c r="I292" s="1745" t="s">
        <v>1062</v>
      </c>
    </row>
    <row r="293" spans="1:9" ht="11.25" customHeight="1">
      <c r="A293" s="1745" t="s">
        <v>2444</v>
      </c>
      <c r="B293" s="1745" t="s">
        <v>3</v>
      </c>
      <c r="C293" s="1745" t="s">
        <v>3067</v>
      </c>
      <c r="D293" s="1745" t="s">
        <v>3068</v>
      </c>
      <c r="E293" s="1745" t="s">
        <v>3069</v>
      </c>
      <c r="F293" s="1745" t="s">
        <v>2555</v>
      </c>
      <c r="G293" s="1745" t="s">
        <v>15</v>
      </c>
      <c r="H293" s="1745" t="s">
        <v>15</v>
      </c>
      <c r="I293" s="1745" t="s">
        <v>1062</v>
      </c>
    </row>
    <row r="294" spans="1:9" ht="11.25" customHeight="1">
      <c r="A294" s="1745" t="s">
        <v>2444</v>
      </c>
      <c r="B294" s="1745" t="s">
        <v>3</v>
      </c>
      <c r="C294" s="1745" t="s">
        <v>2638</v>
      </c>
      <c r="D294" s="1745" t="s">
        <v>2639</v>
      </c>
      <c r="E294" s="1745" t="s">
        <v>2640</v>
      </c>
      <c r="F294" s="1745" t="s">
        <v>2555</v>
      </c>
      <c r="G294" s="1745" t="s">
        <v>15</v>
      </c>
      <c r="H294" s="1745" t="s">
        <v>15</v>
      </c>
      <c r="I294" s="1745" t="s">
        <v>1062</v>
      </c>
    </row>
    <row r="295" spans="1:9" ht="11.25" customHeight="1">
      <c r="A295" s="1745" t="s">
        <v>2444</v>
      </c>
      <c r="B295" s="1745" t="s">
        <v>3</v>
      </c>
      <c r="C295" s="1745" t="s">
        <v>2641</v>
      </c>
      <c r="D295" s="1745" t="s">
        <v>2642</v>
      </c>
      <c r="E295" s="1745" t="s">
        <v>2643</v>
      </c>
      <c r="F295" s="1745" t="s">
        <v>2540</v>
      </c>
      <c r="G295" s="1745" t="s">
        <v>15</v>
      </c>
      <c r="H295" s="1745" t="s">
        <v>15</v>
      </c>
      <c r="I295" s="1745" t="s">
        <v>1062</v>
      </c>
    </row>
    <row r="296" spans="1:9" ht="11.25" customHeight="1">
      <c r="A296" s="1745" t="s">
        <v>2444</v>
      </c>
      <c r="B296" s="1745" t="s">
        <v>3</v>
      </c>
      <c r="C296" s="1745" t="s">
        <v>2644</v>
      </c>
      <c r="D296" s="1745" t="s">
        <v>2645</v>
      </c>
      <c r="E296" s="1745" t="s">
        <v>2646</v>
      </c>
      <c r="F296" s="1745" t="s">
        <v>2466</v>
      </c>
      <c r="G296" s="1745" t="s">
        <v>15</v>
      </c>
      <c r="H296" s="1745" t="s">
        <v>15</v>
      </c>
      <c r="I296" s="1745" t="s">
        <v>1062</v>
      </c>
    </row>
    <row r="297" spans="1:9" ht="11.25" customHeight="1">
      <c r="A297" s="1745" t="s">
        <v>2444</v>
      </c>
      <c r="B297" s="1745" t="s">
        <v>3</v>
      </c>
      <c r="C297" s="1745" t="s">
        <v>2647</v>
      </c>
      <c r="D297" s="1745" t="s">
        <v>2648</v>
      </c>
      <c r="E297" s="1745" t="s">
        <v>2649</v>
      </c>
      <c r="F297" s="1745" t="s">
        <v>2551</v>
      </c>
      <c r="G297" s="1745" t="s">
        <v>15</v>
      </c>
      <c r="H297" s="1745" t="s">
        <v>15</v>
      </c>
      <c r="I297" s="1745" t="s">
        <v>1062</v>
      </c>
    </row>
    <row r="298" spans="1:9" ht="11.25" customHeight="1">
      <c r="A298" s="1745" t="s">
        <v>2444</v>
      </c>
      <c r="B298" s="1745" t="s">
        <v>3</v>
      </c>
      <c r="C298" s="1745" t="s">
        <v>2650</v>
      </c>
      <c r="D298" s="1745" t="s">
        <v>2651</v>
      </c>
      <c r="E298" s="1745" t="s">
        <v>2652</v>
      </c>
      <c r="F298" s="1745" t="s">
        <v>2551</v>
      </c>
      <c r="G298" s="1745" t="s">
        <v>15</v>
      </c>
      <c r="H298" s="1745" t="s">
        <v>15</v>
      </c>
      <c r="I298" s="1745" t="s">
        <v>1062</v>
      </c>
    </row>
    <row r="299" spans="1:9" ht="11.25" customHeight="1">
      <c r="A299" s="1745" t="s">
        <v>2444</v>
      </c>
      <c r="B299" s="1745" t="s">
        <v>3</v>
      </c>
      <c r="C299" s="1745" t="s">
        <v>2653</v>
      </c>
      <c r="D299" s="1745" t="s">
        <v>2654</v>
      </c>
      <c r="E299" s="1745" t="s">
        <v>2655</v>
      </c>
      <c r="F299" s="1745" t="s">
        <v>2551</v>
      </c>
      <c r="G299" s="1745" t="s">
        <v>15</v>
      </c>
      <c r="H299" s="1745" t="s">
        <v>15</v>
      </c>
      <c r="I299" s="1745" t="s">
        <v>1062</v>
      </c>
    </row>
    <row r="300" spans="1:9" ht="11.25" customHeight="1">
      <c r="A300" s="1745" t="s">
        <v>2444</v>
      </c>
      <c r="B300" s="1745" t="s">
        <v>3</v>
      </c>
      <c r="C300" s="1745" t="s">
        <v>2659</v>
      </c>
      <c r="D300" s="1745" t="s">
        <v>2660</v>
      </c>
      <c r="E300" s="1745" t="s">
        <v>2661</v>
      </c>
      <c r="F300" s="1745" t="s">
        <v>2566</v>
      </c>
      <c r="G300" s="1745" t="s">
        <v>2662</v>
      </c>
      <c r="H300" s="1745" t="s">
        <v>15</v>
      </c>
      <c r="I300" s="1745" t="s">
        <v>1062</v>
      </c>
    </row>
    <row r="301" spans="1:9" ht="11.25" customHeight="1">
      <c r="A301" s="1745" t="s">
        <v>2444</v>
      </c>
      <c r="B301" s="1745" t="s">
        <v>3</v>
      </c>
      <c r="C301" s="1745" t="s">
        <v>2663</v>
      </c>
      <c r="D301" s="1745" t="s">
        <v>2664</v>
      </c>
      <c r="E301" s="1745" t="s">
        <v>2665</v>
      </c>
      <c r="F301" s="1745" t="s">
        <v>2466</v>
      </c>
      <c r="G301" s="1745" t="s">
        <v>15</v>
      </c>
      <c r="H301" s="1745" t="s">
        <v>15</v>
      </c>
      <c r="I301" s="1745" t="s">
        <v>1062</v>
      </c>
    </row>
    <row r="302" spans="1:9" ht="11.25" customHeight="1">
      <c r="A302" s="1745" t="s">
        <v>2444</v>
      </c>
      <c r="B302" s="1745" t="s">
        <v>3</v>
      </c>
      <c r="C302" s="1745" t="s">
        <v>3070</v>
      </c>
      <c r="D302" s="1745" t="s">
        <v>3071</v>
      </c>
      <c r="E302" s="1745" t="s">
        <v>3072</v>
      </c>
      <c r="F302" s="1745" t="s">
        <v>2466</v>
      </c>
      <c r="G302" s="1745" t="s">
        <v>15</v>
      </c>
      <c r="H302" s="1745" t="s">
        <v>15</v>
      </c>
      <c r="I302" s="1745" t="s">
        <v>1062</v>
      </c>
    </row>
    <row r="303" spans="1:9" ht="11.25" customHeight="1">
      <c r="A303" s="1745" t="s">
        <v>2444</v>
      </c>
      <c r="B303" s="1745" t="s">
        <v>3</v>
      </c>
      <c r="C303" s="1745" t="s">
        <v>2666</v>
      </c>
      <c r="D303" s="1745" t="s">
        <v>2667</v>
      </c>
      <c r="E303" s="1745" t="s">
        <v>2668</v>
      </c>
      <c r="F303" s="1745" t="s">
        <v>2669</v>
      </c>
      <c r="G303" s="1745" t="s">
        <v>15</v>
      </c>
      <c r="H303" s="1745" t="s">
        <v>15</v>
      </c>
      <c r="I303" s="1745" t="s">
        <v>1062</v>
      </c>
    </row>
    <row r="304" spans="1:9" ht="11.25" customHeight="1">
      <c r="A304" s="1745" t="s">
        <v>2444</v>
      </c>
      <c r="B304" s="1745" t="s">
        <v>3</v>
      </c>
      <c r="C304" s="1745" t="s">
        <v>3073</v>
      </c>
      <c r="D304" s="1745" t="s">
        <v>3074</v>
      </c>
      <c r="E304" s="1745" t="s">
        <v>3075</v>
      </c>
      <c r="F304" s="1745" t="s">
        <v>2480</v>
      </c>
      <c r="G304" s="1745" t="s">
        <v>3076</v>
      </c>
      <c r="H304" s="1745" t="s">
        <v>15</v>
      </c>
      <c r="I304" s="1745" t="s">
        <v>1062</v>
      </c>
    </row>
    <row r="305" spans="1:9" ht="11.25" customHeight="1">
      <c r="A305" s="1745" t="s">
        <v>2444</v>
      </c>
      <c r="B305" s="1745" t="s">
        <v>3</v>
      </c>
      <c r="C305" s="1745" t="s">
        <v>3077</v>
      </c>
      <c r="D305" s="1745" t="s">
        <v>3078</v>
      </c>
      <c r="E305" s="1745" t="s">
        <v>3079</v>
      </c>
      <c r="F305" s="1745" t="s">
        <v>2621</v>
      </c>
      <c r="G305" s="1745" t="s">
        <v>15</v>
      </c>
      <c r="H305" s="1745" t="s">
        <v>15</v>
      </c>
      <c r="I305" s="1745" t="s">
        <v>1062</v>
      </c>
    </row>
    <row r="306" spans="1:9" ht="11.25" customHeight="1">
      <c r="A306" s="1745" t="s">
        <v>2444</v>
      </c>
      <c r="B306" s="1745" t="s">
        <v>3</v>
      </c>
      <c r="C306" s="1745" t="s">
        <v>3080</v>
      </c>
      <c r="D306" s="1745" t="s">
        <v>3081</v>
      </c>
      <c r="E306" s="1745" t="s">
        <v>3082</v>
      </c>
      <c r="F306" s="1745" t="s">
        <v>3083</v>
      </c>
      <c r="G306" s="1745" t="s">
        <v>15</v>
      </c>
      <c r="H306" s="1745" t="s">
        <v>15</v>
      </c>
      <c r="I306" s="1745" t="s">
        <v>1062</v>
      </c>
    </row>
    <row r="307" spans="1:9" ht="11.25" customHeight="1">
      <c r="A307" s="1745" t="s">
        <v>2444</v>
      </c>
      <c r="B307" s="1745" t="s">
        <v>3</v>
      </c>
      <c r="C307" s="1745" t="s">
        <v>3084</v>
      </c>
      <c r="D307" s="1745" t="s">
        <v>3085</v>
      </c>
      <c r="E307" s="1745" t="s">
        <v>3086</v>
      </c>
      <c r="F307" s="1745" t="s">
        <v>2466</v>
      </c>
      <c r="G307" s="1745" t="s">
        <v>15</v>
      </c>
      <c r="H307" s="1745" t="s">
        <v>15</v>
      </c>
      <c r="I307" s="1745" t="s">
        <v>1062</v>
      </c>
    </row>
    <row r="308" spans="1:9" ht="11.25" customHeight="1">
      <c r="A308" s="1745" t="s">
        <v>2444</v>
      </c>
      <c r="B308" s="1745" t="s">
        <v>3</v>
      </c>
      <c r="C308" s="1745" t="s">
        <v>3087</v>
      </c>
      <c r="D308" s="1745" t="s">
        <v>3088</v>
      </c>
      <c r="E308" s="1745" t="s">
        <v>3089</v>
      </c>
      <c r="F308" s="1745" t="s">
        <v>2632</v>
      </c>
      <c r="G308" s="1745" t="s">
        <v>15</v>
      </c>
      <c r="H308" s="1745" t="s">
        <v>15</v>
      </c>
      <c r="I308" s="1745" t="s">
        <v>1062</v>
      </c>
    </row>
    <row r="309" spans="1:9" ht="11.25" customHeight="1">
      <c r="A309" s="1745" t="s">
        <v>2444</v>
      </c>
      <c r="B309" s="1745" t="s">
        <v>3</v>
      </c>
      <c r="C309" s="1745" t="s">
        <v>2702</v>
      </c>
      <c r="D309" s="1745" t="s">
        <v>2703</v>
      </c>
      <c r="E309" s="1745" t="s">
        <v>2704</v>
      </c>
      <c r="F309" s="1745" t="s">
        <v>2705</v>
      </c>
      <c r="G309" s="1745" t="s">
        <v>15</v>
      </c>
      <c r="H309" s="1745" t="s">
        <v>15</v>
      </c>
      <c r="I309" s="1745" t="s">
        <v>1062</v>
      </c>
    </row>
    <row r="310" spans="1:9" ht="11.25" customHeight="1">
      <c r="A310" s="1745" t="s">
        <v>2444</v>
      </c>
      <c r="B310" s="1745" t="s">
        <v>3</v>
      </c>
      <c r="C310" s="1745" t="s">
        <v>3090</v>
      </c>
      <c r="D310" s="1745" t="s">
        <v>3091</v>
      </c>
      <c r="E310" s="1745" t="s">
        <v>3092</v>
      </c>
      <c r="F310" s="1745" t="s">
        <v>2621</v>
      </c>
      <c r="G310" s="1745" t="s">
        <v>15</v>
      </c>
      <c r="H310" s="1745" t="s">
        <v>15</v>
      </c>
      <c r="I310" s="1745" t="s">
        <v>1062</v>
      </c>
    </row>
    <row r="311" spans="1:9" ht="11.25" customHeight="1">
      <c r="A311" s="1745" t="s">
        <v>2444</v>
      </c>
      <c r="B311" s="1745" t="s">
        <v>3</v>
      </c>
      <c r="C311" s="1745" t="s">
        <v>2712</v>
      </c>
      <c r="D311" s="1745" t="s">
        <v>2713</v>
      </c>
      <c r="E311" s="1745" t="s">
        <v>2714</v>
      </c>
      <c r="F311" s="1745" t="s">
        <v>38</v>
      </c>
      <c r="G311" s="1745" t="s">
        <v>15</v>
      </c>
      <c r="H311" s="1745" t="s">
        <v>15</v>
      </c>
      <c r="I311" s="1745" t="s">
        <v>1062</v>
      </c>
    </row>
    <row r="312" spans="1:9" ht="11.25" customHeight="1">
      <c r="A312" s="1745" t="s">
        <v>2444</v>
      </c>
      <c r="B312" s="1745" t="s">
        <v>3</v>
      </c>
      <c r="C312" s="1745" t="s">
        <v>3093</v>
      </c>
      <c r="D312" s="1745" t="s">
        <v>3094</v>
      </c>
      <c r="E312" s="1745" t="s">
        <v>3095</v>
      </c>
      <c r="F312" s="1745" t="s">
        <v>2566</v>
      </c>
      <c r="G312" s="1745" t="s">
        <v>15</v>
      </c>
      <c r="H312" s="1745" t="s">
        <v>15</v>
      </c>
      <c r="I312" s="1745" t="s">
        <v>1062</v>
      </c>
    </row>
    <row r="313" spans="1:9" ht="11.25" customHeight="1">
      <c r="A313" s="1745" t="s">
        <v>2444</v>
      </c>
      <c r="B313" s="1745" t="s">
        <v>3</v>
      </c>
      <c r="C313" s="1745" t="s">
        <v>2718</v>
      </c>
      <c r="D313" s="1745" t="s">
        <v>2719</v>
      </c>
      <c r="E313" s="1745" t="s">
        <v>2720</v>
      </c>
      <c r="F313" s="1745" t="s">
        <v>2632</v>
      </c>
      <c r="G313" s="1745" t="s">
        <v>15</v>
      </c>
      <c r="H313" s="1745" t="s">
        <v>15</v>
      </c>
      <c r="I313" s="1745" t="s">
        <v>1062</v>
      </c>
    </row>
    <row r="314" spans="1:9" ht="11.25" customHeight="1">
      <c r="A314" s="1745" t="s">
        <v>2444</v>
      </c>
      <c r="B314" s="1745" t="s">
        <v>3</v>
      </c>
      <c r="C314" s="1745" t="s">
        <v>3096</v>
      </c>
      <c r="D314" s="1745" t="s">
        <v>3097</v>
      </c>
      <c r="E314" s="1745" t="s">
        <v>3098</v>
      </c>
      <c r="F314" s="1745" t="s">
        <v>2632</v>
      </c>
      <c r="G314" s="1745" t="s">
        <v>15</v>
      </c>
      <c r="H314" s="1745" t="s">
        <v>15</v>
      </c>
      <c r="I314" s="1745" t="s">
        <v>1062</v>
      </c>
    </row>
    <row r="315" spans="1:9" ht="11.25" customHeight="1">
      <c r="A315" s="1745" t="s">
        <v>2444</v>
      </c>
      <c r="B315" s="1745" t="s">
        <v>3</v>
      </c>
      <c r="C315" s="1745" t="s">
        <v>2721</v>
      </c>
      <c r="D315" s="1745" t="s">
        <v>2722</v>
      </c>
      <c r="E315" s="1745" t="s">
        <v>2723</v>
      </c>
      <c r="F315" s="1745" t="s">
        <v>2491</v>
      </c>
      <c r="G315" s="1745" t="s">
        <v>15</v>
      </c>
      <c r="H315" s="1745" t="s">
        <v>15</v>
      </c>
      <c r="I315" s="1745" t="s">
        <v>1062</v>
      </c>
    </row>
    <row r="316" spans="1:9" ht="11.25" customHeight="1">
      <c r="A316" s="1745" t="s">
        <v>2444</v>
      </c>
      <c r="B316" s="1745" t="s">
        <v>3</v>
      </c>
      <c r="C316" s="1745" t="s">
        <v>2724</v>
      </c>
      <c r="D316" s="1745" t="s">
        <v>2725</v>
      </c>
      <c r="E316" s="1745" t="s">
        <v>2726</v>
      </c>
      <c r="F316" s="1745" t="s">
        <v>2566</v>
      </c>
      <c r="G316" s="1745" t="s">
        <v>15</v>
      </c>
      <c r="H316" s="1745" t="s">
        <v>15</v>
      </c>
      <c r="I316" s="1745" t="s">
        <v>1062</v>
      </c>
    </row>
    <row r="317" spans="1:9" ht="11.25" customHeight="1">
      <c r="A317" s="1745" t="s">
        <v>2444</v>
      </c>
      <c r="B317" s="1745" t="s">
        <v>3</v>
      </c>
      <c r="C317" s="1745" t="s">
        <v>2733</v>
      </c>
      <c r="D317" s="1745" t="s">
        <v>2734</v>
      </c>
      <c r="E317" s="1745" t="s">
        <v>2735</v>
      </c>
      <c r="F317" s="1745" t="s">
        <v>2673</v>
      </c>
      <c r="G317" s="1745" t="s">
        <v>15</v>
      </c>
      <c r="H317" s="1745" t="s">
        <v>15</v>
      </c>
      <c r="I317" s="1745" t="s">
        <v>1062</v>
      </c>
    </row>
    <row r="318" spans="1:9" ht="11.25" customHeight="1">
      <c r="A318" s="1745" t="s">
        <v>2444</v>
      </c>
      <c r="B318" s="1745" t="s">
        <v>3</v>
      </c>
      <c r="C318" s="1745" t="s">
        <v>3099</v>
      </c>
      <c r="D318" s="1745" t="s">
        <v>3100</v>
      </c>
      <c r="E318" s="1745" t="s">
        <v>3101</v>
      </c>
      <c r="F318" s="1745" t="s">
        <v>2673</v>
      </c>
      <c r="G318" s="1745" t="s">
        <v>15</v>
      </c>
      <c r="H318" s="1745" t="s">
        <v>15</v>
      </c>
      <c r="I318" s="1745" t="s">
        <v>1062</v>
      </c>
    </row>
    <row r="319" spans="1:9" ht="11.25" customHeight="1">
      <c r="A319" s="1745" t="s">
        <v>2444</v>
      </c>
      <c r="B319" s="1745" t="s">
        <v>3</v>
      </c>
      <c r="C319" s="1745" t="s">
        <v>3102</v>
      </c>
      <c r="D319" s="1745" t="s">
        <v>3103</v>
      </c>
      <c r="E319" s="1745" t="s">
        <v>3104</v>
      </c>
      <c r="F319" s="1745" t="s">
        <v>2632</v>
      </c>
      <c r="G319" s="1745" t="s">
        <v>3105</v>
      </c>
      <c r="H319" s="1745" t="s">
        <v>15</v>
      </c>
      <c r="I319" s="1745" t="s">
        <v>1062</v>
      </c>
    </row>
    <row r="320" spans="1:9" ht="11.25" customHeight="1">
      <c r="A320" s="1745" t="s">
        <v>2444</v>
      </c>
      <c r="B320" s="1745" t="s">
        <v>3</v>
      </c>
      <c r="C320" s="1745" t="s">
        <v>3106</v>
      </c>
      <c r="D320" s="1745" t="s">
        <v>3107</v>
      </c>
      <c r="E320" s="1745" t="s">
        <v>3108</v>
      </c>
      <c r="F320" s="1745" t="s">
        <v>38</v>
      </c>
      <c r="G320" s="1745" t="s">
        <v>15</v>
      </c>
      <c r="H320" s="1745" t="s">
        <v>15</v>
      </c>
      <c r="I320" s="1745" t="s">
        <v>1062</v>
      </c>
    </row>
    <row r="321" spans="1:9" ht="11.25" customHeight="1">
      <c r="A321" s="1745" t="s">
        <v>2444</v>
      </c>
      <c r="B321" s="1745" t="s">
        <v>3</v>
      </c>
      <c r="C321" s="1745" t="s">
        <v>2746</v>
      </c>
      <c r="D321" s="1745" t="s">
        <v>2747</v>
      </c>
      <c r="E321" s="1745" t="s">
        <v>2748</v>
      </c>
      <c r="F321" s="1745" t="s">
        <v>2466</v>
      </c>
      <c r="G321" s="1745" t="s">
        <v>2745</v>
      </c>
      <c r="H321" s="1745" t="s">
        <v>15</v>
      </c>
      <c r="I321" s="1745" t="s">
        <v>1062</v>
      </c>
    </row>
    <row r="322" spans="1:9" ht="11.25" customHeight="1">
      <c r="A322" s="1745" t="s">
        <v>2444</v>
      </c>
      <c r="B322" s="1745" t="s">
        <v>3</v>
      </c>
      <c r="C322" s="1745" t="s">
        <v>3109</v>
      </c>
      <c r="D322" s="1745" t="s">
        <v>3110</v>
      </c>
      <c r="E322" s="1745" t="s">
        <v>3111</v>
      </c>
      <c r="F322" s="1745" t="s">
        <v>2562</v>
      </c>
      <c r="G322" s="1745" t="s">
        <v>15</v>
      </c>
      <c r="H322" s="1745" t="s">
        <v>15</v>
      </c>
      <c r="I322" s="1745" t="s">
        <v>1062</v>
      </c>
    </row>
    <row r="323" spans="1:9" ht="11.25" customHeight="1">
      <c r="A323" s="1745" t="s">
        <v>2444</v>
      </c>
      <c r="B323" s="1745" t="s">
        <v>3</v>
      </c>
      <c r="C323" s="1745" t="s">
        <v>3112</v>
      </c>
      <c r="D323" s="1745" t="s">
        <v>3113</v>
      </c>
      <c r="E323" s="1745" t="s">
        <v>3114</v>
      </c>
      <c r="F323" s="1745" t="s">
        <v>2504</v>
      </c>
      <c r="G323" s="1745" t="s">
        <v>15</v>
      </c>
      <c r="H323" s="1745" t="s">
        <v>15</v>
      </c>
      <c r="I323" s="1745" t="s">
        <v>1062</v>
      </c>
    </row>
    <row r="324" spans="1:9" ht="11.25" customHeight="1">
      <c r="A324" s="1745" t="s">
        <v>2444</v>
      </c>
      <c r="B324" s="1745" t="s">
        <v>3</v>
      </c>
      <c r="C324" s="1745" t="s">
        <v>2752</v>
      </c>
      <c r="D324" s="1745" t="s">
        <v>2753</v>
      </c>
      <c r="E324" s="1745" t="s">
        <v>2754</v>
      </c>
      <c r="F324" s="1745" t="s">
        <v>2755</v>
      </c>
      <c r="G324" s="1745" t="s">
        <v>15</v>
      </c>
      <c r="H324" s="1745" t="s">
        <v>15</v>
      </c>
      <c r="I324" s="1745" t="s">
        <v>1062</v>
      </c>
    </row>
    <row r="325" spans="1:9" ht="11.25" customHeight="1">
      <c r="A325" s="1745" t="s">
        <v>2444</v>
      </c>
      <c r="B325" s="1745" t="s">
        <v>3</v>
      </c>
      <c r="C325" s="1745" t="s">
        <v>2756</v>
      </c>
      <c r="D325" s="1745" t="s">
        <v>2757</v>
      </c>
      <c r="E325" s="1745" t="s">
        <v>2758</v>
      </c>
      <c r="F325" s="1745" t="s">
        <v>2466</v>
      </c>
      <c r="G325" s="1745" t="s">
        <v>15</v>
      </c>
      <c r="H325" s="1745" t="s">
        <v>15</v>
      </c>
      <c r="I325" s="1745" t="s">
        <v>1062</v>
      </c>
    </row>
    <row r="326" spans="1:9" ht="11.25" customHeight="1">
      <c r="A326" s="1745" t="s">
        <v>2444</v>
      </c>
      <c r="B326" s="1745" t="s">
        <v>3</v>
      </c>
      <c r="C326" s="1745" t="s">
        <v>2759</v>
      </c>
      <c r="D326" s="1745" t="s">
        <v>2760</v>
      </c>
      <c r="E326" s="1745" t="s">
        <v>2761</v>
      </c>
      <c r="F326" s="1745" t="s">
        <v>2466</v>
      </c>
      <c r="G326" s="1745" t="s">
        <v>15</v>
      </c>
      <c r="H326" s="1745" t="s">
        <v>15</v>
      </c>
      <c r="I326" s="1745" t="s">
        <v>1062</v>
      </c>
    </row>
    <row r="327" spans="1:9" ht="11.25" customHeight="1">
      <c r="A327" s="1745" t="s">
        <v>2444</v>
      </c>
      <c r="B327" s="1745" t="s">
        <v>3</v>
      </c>
      <c r="C327" s="1745" t="s">
        <v>2762</v>
      </c>
      <c r="D327" s="1745" t="s">
        <v>2763</v>
      </c>
      <c r="E327" s="1745" t="s">
        <v>2764</v>
      </c>
      <c r="F327" s="1745" t="s">
        <v>2466</v>
      </c>
      <c r="G327" s="1745" t="s">
        <v>15</v>
      </c>
      <c r="H327" s="1745" t="s">
        <v>15</v>
      </c>
      <c r="I327" s="1745" t="s">
        <v>1062</v>
      </c>
    </row>
    <row r="328" spans="1:9" ht="11.25" customHeight="1">
      <c r="A328" s="1745" t="s">
        <v>2444</v>
      </c>
      <c r="B328" s="1745" t="s">
        <v>3</v>
      </c>
      <c r="C328" s="1745" t="s">
        <v>2768</v>
      </c>
      <c r="D328" s="1745" t="s">
        <v>2769</v>
      </c>
      <c r="E328" s="1745" t="s">
        <v>2770</v>
      </c>
      <c r="F328" s="1745" t="s">
        <v>2466</v>
      </c>
      <c r="G328" s="1745" t="s">
        <v>15</v>
      </c>
      <c r="H328" s="1745" t="s">
        <v>15</v>
      </c>
      <c r="I328" s="1745" t="s">
        <v>1062</v>
      </c>
    </row>
    <row r="329" spans="1:9" ht="11.25" customHeight="1">
      <c r="A329" s="1745" t="s">
        <v>2444</v>
      </c>
      <c r="B329" s="1745" t="s">
        <v>3</v>
      </c>
      <c r="C329" s="1745" t="s">
        <v>2774</v>
      </c>
      <c r="D329" s="1745" t="s">
        <v>2772</v>
      </c>
      <c r="E329" s="1745" t="s">
        <v>2775</v>
      </c>
      <c r="F329" s="1745" t="s">
        <v>2755</v>
      </c>
      <c r="G329" s="1745" t="s">
        <v>15</v>
      </c>
      <c r="H329" s="1745" t="s">
        <v>15</v>
      </c>
      <c r="I329" s="1745" t="s">
        <v>1062</v>
      </c>
    </row>
    <row r="330" spans="1:9" ht="11.25" customHeight="1">
      <c r="A330" s="1745" t="s">
        <v>2444</v>
      </c>
      <c r="B330" s="1745" t="s">
        <v>3</v>
      </c>
      <c r="C330" s="1745" t="s">
        <v>2776</v>
      </c>
      <c r="D330" s="1745" t="s">
        <v>2777</v>
      </c>
      <c r="E330" s="1745" t="s">
        <v>2778</v>
      </c>
      <c r="F330" s="1745" t="s">
        <v>2466</v>
      </c>
      <c r="G330" s="1745" t="s">
        <v>15</v>
      </c>
      <c r="H330" s="1745" t="s">
        <v>15</v>
      </c>
      <c r="I330" s="1745" t="s">
        <v>1062</v>
      </c>
    </row>
    <row r="331" spans="1:9" ht="11.25" customHeight="1">
      <c r="A331" s="1745" t="s">
        <v>2444</v>
      </c>
      <c r="B331" s="1745" t="s">
        <v>3</v>
      </c>
      <c r="C331" s="1745" t="s">
        <v>3115</v>
      </c>
      <c r="D331" s="1745" t="s">
        <v>3116</v>
      </c>
      <c r="E331" s="1745" t="s">
        <v>3117</v>
      </c>
      <c r="F331" s="1745" t="s">
        <v>2632</v>
      </c>
      <c r="G331" s="1745" t="s">
        <v>15</v>
      </c>
      <c r="H331" s="1745" t="s">
        <v>15</v>
      </c>
      <c r="I331" s="1745" t="s">
        <v>1062</v>
      </c>
    </row>
    <row r="332" spans="1:9" ht="11.25" customHeight="1">
      <c r="A332" s="1745" t="s">
        <v>2444</v>
      </c>
      <c r="B332" s="1745" t="s">
        <v>3</v>
      </c>
      <c r="C332" s="1745" t="s">
        <v>3118</v>
      </c>
      <c r="D332" s="1745" t="s">
        <v>3119</v>
      </c>
      <c r="E332" s="1745" t="s">
        <v>3120</v>
      </c>
      <c r="F332" s="1745" t="s">
        <v>2476</v>
      </c>
      <c r="G332" s="1745" t="s">
        <v>15</v>
      </c>
      <c r="H332" s="1745" t="s">
        <v>15</v>
      </c>
      <c r="I332" s="1745" t="s">
        <v>1062</v>
      </c>
    </row>
    <row r="333" spans="1:9" ht="11.25" customHeight="1">
      <c r="A333" s="1745" t="s">
        <v>2444</v>
      </c>
      <c r="B333" s="1745" t="s">
        <v>3</v>
      </c>
      <c r="C333" s="1745" t="s">
        <v>2779</v>
      </c>
      <c r="D333" s="1745" t="s">
        <v>2780</v>
      </c>
      <c r="E333" s="1745" t="s">
        <v>2781</v>
      </c>
      <c r="F333" s="1745" t="s">
        <v>2504</v>
      </c>
      <c r="G333" s="1745" t="s">
        <v>15</v>
      </c>
      <c r="H333" s="1745" t="s">
        <v>15</v>
      </c>
      <c r="I333" s="1745" t="s">
        <v>1062</v>
      </c>
    </row>
    <row r="334" spans="1:9" ht="11.25" customHeight="1">
      <c r="A334" s="1745" t="s">
        <v>2444</v>
      </c>
      <c r="B334" s="1745" t="s">
        <v>3</v>
      </c>
      <c r="C334" s="1745" t="s">
        <v>3121</v>
      </c>
      <c r="D334" s="1745" t="s">
        <v>3122</v>
      </c>
      <c r="E334" s="1745" t="s">
        <v>3123</v>
      </c>
      <c r="F334" s="1745" t="s">
        <v>2476</v>
      </c>
      <c r="G334" s="1745" t="s">
        <v>3124</v>
      </c>
      <c r="H334" s="1745" t="s">
        <v>15</v>
      </c>
      <c r="I334" s="1745" t="s">
        <v>1062</v>
      </c>
    </row>
    <row r="335" spans="1:9" ht="11.25" customHeight="1">
      <c r="A335" s="1745" t="s">
        <v>2444</v>
      </c>
      <c r="B335" s="1745" t="s">
        <v>3</v>
      </c>
      <c r="C335" s="1745" t="s">
        <v>3125</v>
      </c>
      <c r="D335" s="1745" t="s">
        <v>3126</v>
      </c>
      <c r="E335" s="1745" t="s">
        <v>3127</v>
      </c>
      <c r="F335" s="1745" t="s">
        <v>2632</v>
      </c>
      <c r="G335" s="1745" t="s">
        <v>15</v>
      </c>
      <c r="H335" s="1745" t="s">
        <v>15</v>
      </c>
      <c r="I335" s="1745" t="s">
        <v>1062</v>
      </c>
    </row>
    <row r="336" spans="1:9" ht="11.25" customHeight="1">
      <c r="A336" s="1745" t="s">
        <v>2444</v>
      </c>
      <c r="B336" s="1745" t="s">
        <v>3</v>
      </c>
      <c r="C336" s="1745" t="s">
        <v>2788</v>
      </c>
      <c r="D336" s="1745" t="s">
        <v>2789</v>
      </c>
      <c r="E336" s="1745" t="s">
        <v>2790</v>
      </c>
      <c r="F336" s="1745" t="s">
        <v>2632</v>
      </c>
      <c r="G336" s="1745" t="s">
        <v>15</v>
      </c>
      <c r="H336" s="1745" t="s">
        <v>15</v>
      </c>
      <c r="I336" s="1745" t="s">
        <v>1062</v>
      </c>
    </row>
    <row r="337" spans="1:9" ht="11.25" customHeight="1">
      <c r="A337" s="1745" t="s">
        <v>2444</v>
      </c>
      <c r="B337" s="1745" t="s">
        <v>3</v>
      </c>
      <c r="C337" s="1745" t="s">
        <v>2791</v>
      </c>
      <c r="D337" s="1745" t="s">
        <v>2792</v>
      </c>
      <c r="E337" s="1745" t="s">
        <v>2793</v>
      </c>
      <c r="F337" s="1745" t="s">
        <v>2566</v>
      </c>
      <c r="G337" s="1745" t="s">
        <v>15</v>
      </c>
      <c r="H337" s="1745" t="s">
        <v>15</v>
      </c>
      <c r="I337" s="1745" t="s">
        <v>1062</v>
      </c>
    </row>
    <row r="338" spans="1:9" ht="11.25" customHeight="1">
      <c r="A338" s="1745" t="s">
        <v>2444</v>
      </c>
      <c r="B338" s="1745" t="s">
        <v>3</v>
      </c>
      <c r="C338" s="1745" t="s">
        <v>3128</v>
      </c>
      <c r="D338" s="1745" t="s">
        <v>3129</v>
      </c>
      <c r="E338" s="1745" t="s">
        <v>3130</v>
      </c>
      <c r="F338" s="1745" t="s">
        <v>2621</v>
      </c>
      <c r="G338" s="1745" t="s">
        <v>15</v>
      </c>
      <c r="H338" s="1745" t="s">
        <v>15</v>
      </c>
      <c r="I338" s="1745" t="s">
        <v>1062</v>
      </c>
    </row>
    <row r="339" spans="1:9" ht="11.25" customHeight="1">
      <c r="A339" s="1745" t="s">
        <v>2444</v>
      </c>
      <c r="B339" s="1745" t="s">
        <v>3</v>
      </c>
      <c r="C339" s="1745" t="s">
        <v>2797</v>
      </c>
      <c r="D339" s="1745" t="s">
        <v>2798</v>
      </c>
      <c r="E339" s="1745" t="s">
        <v>2799</v>
      </c>
      <c r="F339" s="1745" t="s">
        <v>2673</v>
      </c>
      <c r="G339" s="1745" t="s">
        <v>15</v>
      </c>
      <c r="H339" s="1745" t="s">
        <v>15</v>
      </c>
      <c r="I339" s="1745" t="s">
        <v>1062</v>
      </c>
    </row>
    <row r="340" spans="1:9" ht="11.25" customHeight="1">
      <c r="A340" s="1745" t="s">
        <v>2444</v>
      </c>
      <c r="B340" s="1745" t="s">
        <v>3</v>
      </c>
      <c r="C340" s="1745" t="s">
        <v>3131</v>
      </c>
      <c r="D340" s="1745" t="s">
        <v>3132</v>
      </c>
      <c r="E340" s="1745" t="s">
        <v>3133</v>
      </c>
      <c r="F340" s="1745" t="s">
        <v>2566</v>
      </c>
      <c r="G340" s="1745" t="s">
        <v>15</v>
      </c>
      <c r="H340" s="1745" t="s">
        <v>15</v>
      </c>
      <c r="I340" s="1745" t="s">
        <v>1062</v>
      </c>
    </row>
    <row r="341" spans="1:9" ht="11.25" customHeight="1">
      <c r="A341" s="1745" t="s">
        <v>2444</v>
      </c>
      <c r="B341" s="1745" t="s">
        <v>3</v>
      </c>
      <c r="C341" s="1745" t="s">
        <v>3134</v>
      </c>
      <c r="D341" s="1745" t="s">
        <v>3135</v>
      </c>
      <c r="E341" s="1745" t="s">
        <v>3136</v>
      </c>
      <c r="F341" s="1745" t="s">
        <v>2476</v>
      </c>
      <c r="G341" s="1745" t="s">
        <v>15</v>
      </c>
      <c r="H341" s="1745" t="s">
        <v>15</v>
      </c>
      <c r="I341" s="1745" t="s">
        <v>1062</v>
      </c>
    </row>
    <row r="342" spans="1:9" ht="11.25" customHeight="1">
      <c r="A342" s="1745" t="s">
        <v>2444</v>
      </c>
      <c r="B342" s="1745" t="s">
        <v>3</v>
      </c>
      <c r="C342" s="1745" t="s">
        <v>2806</v>
      </c>
      <c r="D342" s="1745" t="s">
        <v>2807</v>
      </c>
      <c r="E342" s="1745" t="s">
        <v>2808</v>
      </c>
      <c r="F342" s="1745" t="s">
        <v>2551</v>
      </c>
      <c r="G342" s="1745" t="s">
        <v>15</v>
      </c>
      <c r="H342" s="1745" t="s">
        <v>15</v>
      </c>
      <c r="I342" s="1745" t="s">
        <v>1062</v>
      </c>
    </row>
    <row r="343" spans="1:9" ht="11.25" customHeight="1">
      <c r="A343" s="1745" t="s">
        <v>2444</v>
      </c>
      <c r="B343" s="1745" t="s">
        <v>3</v>
      </c>
      <c r="C343" s="1745" t="s">
        <v>2809</v>
      </c>
      <c r="D343" s="1745" t="s">
        <v>2810</v>
      </c>
      <c r="E343" s="1745" t="s">
        <v>2811</v>
      </c>
      <c r="F343" s="1745" t="s">
        <v>2466</v>
      </c>
      <c r="G343" s="1745" t="s">
        <v>15</v>
      </c>
      <c r="H343" s="1745" t="s">
        <v>15</v>
      </c>
      <c r="I343" s="1745" t="s">
        <v>1062</v>
      </c>
    </row>
    <row r="344" spans="1:9" ht="11.25" customHeight="1">
      <c r="A344" s="1745" t="s">
        <v>2444</v>
      </c>
      <c r="B344" s="1745" t="s">
        <v>3</v>
      </c>
      <c r="C344" s="1745" t="s">
        <v>3137</v>
      </c>
      <c r="D344" s="1745" t="s">
        <v>3138</v>
      </c>
      <c r="E344" s="1745" t="s">
        <v>3139</v>
      </c>
      <c r="F344" s="1745" t="s">
        <v>2621</v>
      </c>
      <c r="G344" s="1745" t="s">
        <v>15</v>
      </c>
      <c r="H344" s="1745" t="s">
        <v>15</v>
      </c>
      <c r="I344" s="1745" t="s">
        <v>1062</v>
      </c>
    </row>
    <row r="345" spans="1:9" ht="11.25" customHeight="1">
      <c r="A345" s="1745" t="s">
        <v>2444</v>
      </c>
      <c r="B345" s="1745" t="s">
        <v>3</v>
      </c>
      <c r="C345" s="1745" t="s">
        <v>2818</v>
      </c>
      <c r="D345" s="1745" t="s">
        <v>2819</v>
      </c>
      <c r="E345" s="1745" t="s">
        <v>2820</v>
      </c>
      <c r="F345" s="1745" t="s">
        <v>2621</v>
      </c>
      <c r="G345" s="1745" t="s">
        <v>15</v>
      </c>
      <c r="H345" s="1745" t="s">
        <v>15</v>
      </c>
      <c r="I345" s="1745" t="s">
        <v>1062</v>
      </c>
    </row>
    <row r="346" spans="1:9" ht="11.25" customHeight="1">
      <c r="A346" s="1745" t="s">
        <v>2444</v>
      </c>
      <c r="B346" s="1745" t="s">
        <v>3</v>
      </c>
      <c r="C346" s="1745" t="s">
        <v>2821</v>
      </c>
      <c r="D346" s="1745" t="s">
        <v>2822</v>
      </c>
      <c r="E346" s="1745" t="s">
        <v>2823</v>
      </c>
      <c r="F346" s="1745" t="s">
        <v>2566</v>
      </c>
      <c r="G346" s="1745" t="s">
        <v>15</v>
      </c>
      <c r="H346" s="1745" t="s">
        <v>15</v>
      </c>
      <c r="I346" s="1745" t="s">
        <v>1062</v>
      </c>
    </row>
    <row r="347" spans="1:9" ht="11.25" customHeight="1">
      <c r="A347" s="1745" t="s">
        <v>2444</v>
      </c>
      <c r="B347" s="1745" t="s">
        <v>3</v>
      </c>
      <c r="C347" s="1745" t="s">
        <v>3140</v>
      </c>
      <c r="D347" s="1745" t="s">
        <v>3141</v>
      </c>
      <c r="E347" s="1745" t="s">
        <v>3142</v>
      </c>
      <c r="F347" s="1745" t="s">
        <v>2562</v>
      </c>
      <c r="G347" s="1745" t="s">
        <v>15</v>
      </c>
      <c r="H347" s="1745" t="s">
        <v>15</v>
      </c>
      <c r="I347" s="1745" t="s">
        <v>1062</v>
      </c>
    </row>
    <row r="348" spans="1:9" ht="11.25" customHeight="1">
      <c r="A348" s="1745" t="s">
        <v>2444</v>
      </c>
      <c r="B348" s="1745" t="s">
        <v>3</v>
      </c>
      <c r="C348" s="1745" t="s">
        <v>3143</v>
      </c>
      <c r="D348" s="1745" t="s">
        <v>3144</v>
      </c>
      <c r="E348" s="1745" t="s">
        <v>3145</v>
      </c>
      <c r="F348" s="1745" t="s">
        <v>2551</v>
      </c>
      <c r="G348" s="1745" t="s">
        <v>15</v>
      </c>
      <c r="H348" s="1745" t="s">
        <v>15</v>
      </c>
      <c r="I348" s="1745" t="s">
        <v>1062</v>
      </c>
    </row>
    <row r="349" spans="1:9" ht="11.25" customHeight="1">
      <c r="A349" s="1745" t="s">
        <v>2444</v>
      </c>
      <c r="B349" s="1745" t="s">
        <v>3</v>
      </c>
      <c r="C349" s="1745" t="s">
        <v>3146</v>
      </c>
      <c r="D349" s="1745" t="s">
        <v>3147</v>
      </c>
      <c r="E349" s="1745" t="s">
        <v>3148</v>
      </c>
      <c r="F349" s="1745" t="s">
        <v>2533</v>
      </c>
      <c r="G349" s="1745" t="s">
        <v>15</v>
      </c>
      <c r="H349" s="1745" t="s">
        <v>15</v>
      </c>
      <c r="I349" s="1745" t="s">
        <v>1062</v>
      </c>
    </row>
    <row r="350" spans="1:9" ht="11.25" customHeight="1">
      <c r="A350" s="1745" t="s">
        <v>2444</v>
      </c>
      <c r="B350" s="1745" t="s">
        <v>3</v>
      </c>
      <c r="C350" s="1745" t="s">
        <v>2858</v>
      </c>
      <c r="D350" s="1745" t="s">
        <v>2859</v>
      </c>
      <c r="E350" s="1745" t="s">
        <v>2860</v>
      </c>
      <c r="F350" s="1745" t="s">
        <v>2491</v>
      </c>
      <c r="G350" s="1745" t="s">
        <v>15</v>
      </c>
      <c r="H350" s="1745" t="s">
        <v>15</v>
      </c>
      <c r="I350" s="1745" t="s">
        <v>1062</v>
      </c>
    </row>
    <row r="351" spans="1:9" ht="11.25" customHeight="1">
      <c r="A351" s="1745" t="s">
        <v>2444</v>
      </c>
      <c r="B351" s="1745" t="s">
        <v>3</v>
      </c>
      <c r="C351" s="1745" t="s">
        <v>3149</v>
      </c>
      <c r="D351" s="1745" t="s">
        <v>3150</v>
      </c>
      <c r="E351" s="1745" t="s">
        <v>3151</v>
      </c>
      <c r="F351" s="1745" t="s">
        <v>2673</v>
      </c>
      <c r="G351" s="1745" t="s">
        <v>15</v>
      </c>
      <c r="H351" s="1745" t="s">
        <v>15</v>
      </c>
      <c r="I351" s="1745" t="s">
        <v>1062</v>
      </c>
    </row>
    <row r="352" spans="1:9" ht="11.25" customHeight="1">
      <c r="A352" s="1745" t="s">
        <v>2444</v>
      </c>
      <c r="B352" s="1745" t="s">
        <v>3</v>
      </c>
      <c r="C352" s="1745" t="s">
        <v>2874</v>
      </c>
      <c r="D352" s="1745" t="s">
        <v>2875</v>
      </c>
      <c r="E352" s="1745" t="s">
        <v>2876</v>
      </c>
      <c r="F352" s="1745" t="s">
        <v>2562</v>
      </c>
      <c r="G352" s="1745" t="s">
        <v>15</v>
      </c>
      <c r="H352" s="1745" t="s">
        <v>15</v>
      </c>
      <c r="I352" s="1745" t="s">
        <v>1062</v>
      </c>
    </row>
    <row r="353" spans="1:9" ht="11.25" customHeight="1">
      <c r="A353" s="1745" t="s">
        <v>2444</v>
      </c>
      <c r="B353" s="1745" t="s">
        <v>3</v>
      </c>
      <c r="C353" s="1745" t="s">
        <v>2877</v>
      </c>
      <c r="D353" s="1745" t="s">
        <v>2878</v>
      </c>
      <c r="E353" s="1745" t="s">
        <v>2879</v>
      </c>
      <c r="F353" s="1745" t="s">
        <v>2562</v>
      </c>
      <c r="G353" s="1745" t="s">
        <v>15</v>
      </c>
      <c r="H353" s="1745" t="s">
        <v>15</v>
      </c>
      <c r="I353" s="1745" t="s">
        <v>1062</v>
      </c>
    </row>
    <row r="354" spans="1:9" ht="11.25" customHeight="1">
      <c r="A354" s="1745" t="s">
        <v>2444</v>
      </c>
      <c r="B354" s="1745" t="s">
        <v>3</v>
      </c>
      <c r="C354" s="1745" t="s">
        <v>3152</v>
      </c>
      <c r="D354" s="1745" t="s">
        <v>3153</v>
      </c>
      <c r="E354" s="1745" t="s">
        <v>3154</v>
      </c>
      <c r="F354" s="1745" t="s">
        <v>2566</v>
      </c>
      <c r="G354" s="1745" t="s">
        <v>3155</v>
      </c>
      <c r="H354" s="1745" t="s">
        <v>15</v>
      </c>
      <c r="I354" s="1745" t="s">
        <v>1062</v>
      </c>
    </row>
    <row r="355" spans="1:9" ht="11.25" customHeight="1">
      <c r="A355" s="1745" t="s">
        <v>2444</v>
      </c>
      <c r="B355" s="1745" t="s">
        <v>3</v>
      </c>
      <c r="C355" s="1745" t="s">
        <v>2884</v>
      </c>
      <c r="D355" s="1745" t="s">
        <v>2885</v>
      </c>
      <c r="E355" s="1745" t="s">
        <v>2886</v>
      </c>
      <c r="F355" s="1745" t="s">
        <v>2887</v>
      </c>
      <c r="G355" s="1745" t="s">
        <v>15</v>
      </c>
      <c r="H355" s="1745" t="s">
        <v>15</v>
      </c>
      <c r="I355" s="1745" t="s">
        <v>1062</v>
      </c>
    </row>
    <row r="356" spans="1:9" ht="11.25" customHeight="1">
      <c r="A356" s="1745" t="s">
        <v>2444</v>
      </c>
      <c r="B356" s="1745" t="s">
        <v>3</v>
      </c>
      <c r="C356" s="1745" t="s">
        <v>3156</v>
      </c>
      <c r="D356" s="1745" t="s">
        <v>3157</v>
      </c>
      <c r="E356" s="1745" t="s">
        <v>3158</v>
      </c>
      <c r="F356" s="1745" t="s">
        <v>38</v>
      </c>
      <c r="G356" s="1745" t="s">
        <v>3159</v>
      </c>
      <c r="H356" s="1745" t="s">
        <v>15</v>
      </c>
      <c r="I356" s="1745" t="s">
        <v>1062</v>
      </c>
    </row>
    <row r="357" spans="1:9" ht="11.25" customHeight="1">
      <c r="A357" s="1745" t="s">
        <v>2444</v>
      </c>
      <c r="B357" s="1745" t="s">
        <v>3</v>
      </c>
      <c r="C357" s="1745" t="s">
        <v>2888</v>
      </c>
      <c r="D357" s="1745" t="s">
        <v>2889</v>
      </c>
      <c r="E357" s="1745" t="s">
        <v>2890</v>
      </c>
      <c r="F357" s="1745" t="s">
        <v>2891</v>
      </c>
      <c r="G357" s="1745" t="s">
        <v>15</v>
      </c>
      <c r="H357" s="1745" t="s">
        <v>15</v>
      </c>
      <c r="I357" s="1745" t="s">
        <v>1062</v>
      </c>
    </row>
    <row r="358" spans="1:9" ht="11.25" customHeight="1">
      <c r="A358" s="1745" t="s">
        <v>2444</v>
      </c>
      <c r="B358" s="1745" t="s">
        <v>3</v>
      </c>
      <c r="C358" s="1745" t="s">
        <v>2947</v>
      </c>
      <c r="D358" s="1745" t="s">
        <v>2889</v>
      </c>
      <c r="E358" s="1745" t="s">
        <v>2890</v>
      </c>
      <c r="F358" s="1745" t="s">
        <v>2948</v>
      </c>
      <c r="G358" s="1745" t="s">
        <v>15</v>
      </c>
      <c r="H358" s="1745" t="s">
        <v>15</v>
      </c>
      <c r="I358" s="1745" t="s">
        <v>1062</v>
      </c>
    </row>
    <row r="359" spans="1:9" ht="11.25" customHeight="1">
      <c r="A359" s="1745" t="s">
        <v>2444</v>
      </c>
      <c r="B359" s="1745" t="s">
        <v>3</v>
      </c>
      <c r="C359" s="1745" t="s">
        <v>3160</v>
      </c>
      <c r="D359" s="1745" t="s">
        <v>3161</v>
      </c>
      <c r="E359" s="1745" t="s">
        <v>3162</v>
      </c>
      <c r="F359" s="1745" t="s">
        <v>2673</v>
      </c>
      <c r="G359" s="1745" t="s">
        <v>15</v>
      </c>
      <c r="H359" s="1745" t="s">
        <v>15</v>
      </c>
      <c r="I359" s="1745" t="s">
        <v>1062</v>
      </c>
    </row>
    <row r="360" spans="1:9" ht="11.25" customHeight="1">
      <c r="A360" s="1745" t="s">
        <v>2444</v>
      </c>
      <c r="B360" s="1745" t="s">
        <v>3</v>
      </c>
      <c r="C360" s="1745" t="s">
        <v>3163</v>
      </c>
      <c r="D360" s="1745" t="s">
        <v>3164</v>
      </c>
      <c r="E360" s="1745" t="s">
        <v>3165</v>
      </c>
      <c r="F360" s="1745" t="s">
        <v>38</v>
      </c>
      <c r="G360" s="1745" t="s">
        <v>15</v>
      </c>
      <c r="H360" s="1745" t="s">
        <v>15</v>
      </c>
      <c r="I360" s="1745" t="s">
        <v>1062</v>
      </c>
    </row>
    <row r="361" spans="1:9" ht="11.25" customHeight="1">
      <c r="A361" s="1745" t="s">
        <v>2444</v>
      </c>
      <c r="B361" s="1745" t="s">
        <v>3</v>
      </c>
      <c r="C361" s="1745" t="s">
        <v>3166</v>
      </c>
      <c r="D361" s="1745" t="s">
        <v>3167</v>
      </c>
      <c r="E361" s="1745" t="s">
        <v>3168</v>
      </c>
      <c r="F361" s="1745" t="s">
        <v>2593</v>
      </c>
      <c r="G361" s="1745" t="s">
        <v>15</v>
      </c>
      <c r="H361" s="1745" t="s">
        <v>15</v>
      </c>
      <c r="I361" s="1745" t="s">
        <v>1062</v>
      </c>
    </row>
    <row r="362" spans="1:9" ht="11.25" customHeight="1">
      <c r="A362" s="1745" t="s">
        <v>2444</v>
      </c>
      <c r="B362" s="1745" t="s">
        <v>3</v>
      </c>
      <c r="C362" s="1745" t="s">
        <v>3169</v>
      </c>
      <c r="D362" s="1745" t="s">
        <v>3170</v>
      </c>
      <c r="E362" s="1745" t="s">
        <v>3171</v>
      </c>
      <c r="F362" s="1745" t="s">
        <v>2466</v>
      </c>
      <c r="G362" s="1745" t="s">
        <v>15</v>
      </c>
      <c r="H362" s="1745" t="s">
        <v>15</v>
      </c>
      <c r="I362" s="1745" t="s">
        <v>1062</v>
      </c>
    </row>
    <row r="363" spans="1:9" ht="11.25" customHeight="1">
      <c r="A363" s="1745" t="s">
        <v>2444</v>
      </c>
      <c r="B363" s="1745" t="s">
        <v>3</v>
      </c>
      <c r="C363" s="1745" t="s">
        <v>2895</v>
      </c>
      <c r="D363" s="1745" t="s">
        <v>2896</v>
      </c>
      <c r="E363" s="1745" t="s">
        <v>2897</v>
      </c>
      <c r="F363" s="1745" t="s">
        <v>2466</v>
      </c>
      <c r="G363" s="1745" t="s">
        <v>15</v>
      </c>
      <c r="H363" s="1745" t="s">
        <v>15</v>
      </c>
      <c r="I363" s="1745" t="s">
        <v>1062</v>
      </c>
    </row>
    <row r="364" spans="1:9" ht="11.25" customHeight="1">
      <c r="A364" s="1745" t="s">
        <v>2444</v>
      </c>
      <c r="B364" s="1745" t="s">
        <v>3</v>
      </c>
      <c r="C364" s="1745" t="s">
        <v>3172</v>
      </c>
      <c r="D364" s="1745" t="s">
        <v>3173</v>
      </c>
      <c r="E364" s="1745" t="s">
        <v>3174</v>
      </c>
      <c r="F364" s="1745" t="s">
        <v>2621</v>
      </c>
      <c r="G364" s="1745" t="s">
        <v>15</v>
      </c>
      <c r="H364" s="1745" t="s">
        <v>15</v>
      </c>
      <c r="I364" s="1745" t="s">
        <v>1062</v>
      </c>
    </row>
    <row r="365" spans="1:9" ht="11.25" customHeight="1">
      <c r="A365" s="1745" t="s">
        <v>2444</v>
      </c>
      <c r="B365" s="1745" t="s">
        <v>3</v>
      </c>
      <c r="C365" s="1745" t="s">
        <v>2910</v>
      </c>
      <c r="D365" s="1745" t="s">
        <v>2911</v>
      </c>
      <c r="E365" s="1745" t="s">
        <v>2912</v>
      </c>
      <c r="F365" s="1745" t="s">
        <v>2480</v>
      </c>
      <c r="G365" s="1745" t="s">
        <v>15</v>
      </c>
      <c r="H365" s="1745" t="s">
        <v>15</v>
      </c>
      <c r="I365" s="1745" t="s">
        <v>1062</v>
      </c>
    </row>
    <row r="366" spans="1:9" ht="11.25" customHeight="1">
      <c r="A366" s="1745" t="s">
        <v>2444</v>
      </c>
      <c r="B366" s="1745" t="s">
        <v>3</v>
      </c>
      <c r="C366" s="1745" t="s">
        <v>2913</v>
      </c>
      <c r="D366" s="1745" t="s">
        <v>2914</v>
      </c>
      <c r="E366" s="1745" t="s">
        <v>2915</v>
      </c>
      <c r="F366" s="1745" t="s">
        <v>2916</v>
      </c>
      <c r="G366" s="1745" t="s">
        <v>15</v>
      </c>
      <c r="H366" s="1745" t="s">
        <v>15</v>
      </c>
      <c r="I366" s="1745" t="s">
        <v>1062</v>
      </c>
    </row>
    <row r="367" spans="1:9" ht="11.25" customHeight="1">
      <c r="A367" s="1745" t="s">
        <v>2444</v>
      </c>
      <c r="B367" s="1745" t="s">
        <v>3</v>
      </c>
      <c r="C367" s="1745" t="s">
        <v>2921</v>
      </c>
      <c r="D367" s="1745" t="s">
        <v>2922</v>
      </c>
      <c r="E367" s="1745" t="s">
        <v>2923</v>
      </c>
      <c r="F367" s="1745" t="s">
        <v>2673</v>
      </c>
      <c r="G367" s="1745" t="s">
        <v>15</v>
      </c>
      <c r="H367" s="1745" t="s">
        <v>15</v>
      </c>
      <c r="I367" s="1745" t="s">
        <v>1062</v>
      </c>
    </row>
    <row r="368" spans="1:9" ht="11.25" customHeight="1">
      <c r="A368" s="1745" t="s">
        <v>2444</v>
      </c>
      <c r="B368" s="1745" t="s">
        <v>3</v>
      </c>
      <c r="C368" s="1745" t="s">
        <v>2924</v>
      </c>
      <c r="D368" s="1745" t="s">
        <v>2925</v>
      </c>
      <c r="E368" s="1745" t="s">
        <v>2926</v>
      </c>
      <c r="F368" s="1745" t="s">
        <v>2673</v>
      </c>
      <c r="G368" s="1745" t="s">
        <v>15</v>
      </c>
      <c r="H368" s="1745" t="s">
        <v>15</v>
      </c>
      <c r="I368" s="1745" t="s">
        <v>1062</v>
      </c>
    </row>
    <row r="369" spans="1:9" ht="11.25" customHeight="1">
      <c r="A369" s="1745" t="s">
        <v>2444</v>
      </c>
      <c r="B369" s="1745" t="s">
        <v>3</v>
      </c>
      <c r="C369" s="1745" t="s">
        <v>2927</v>
      </c>
      <c r="D369" s="1745" t="s">
        <v>2928</v>
      </c>
      <c r="E369" s="1745" t="s">
        <v>2929</v>
      </c>
      <c r="F369" s="1745" t="s">
        <v>2466</v>
      </c>
      <c r="G369" s="1745" t="s">
        <v>15</v>
      </c>
      <c r="H369" s="1745" t="s">
        <v>15</v>
      </c>
      <c r="I369" s="1745" t="s">
        <v>1062</v>
      </c>
    </row>
    <row r="370" spans="1:9" ht="11.25" customHeight="1">
      <c r="A370" s="1745" t="s">
        <v>2444</v>
      </c>
      <c r="B370" s="1745" t="s">
        <v>3</v>
      </c>
      <c r="C370" s="1745" t="s">
        <v>2934</v>
      </c>
      <c r="D370" s="1745" t="s">
        <v>2935</v>
      </c>
      <c r="E370" s="1745" t="s">
        <v>2936</v>
      </c>
      <c r="F370" s="1745" t="s">
        <v>2891</v>
      </c>
      <c r="G370" s="1745" t="s">
        <v>15</v>
      </c>
      <c r="H370" s="1745" t="s">
        <v>15</v>
      </c>
      <c r="I370" s="1745" t="s">
        <v>1062</v>
      </c>
    </row>
    <row r="371" spans="1:9" ht="11.25" customHeight="1">
      <c r="A371" s="1745" t="s">
        <v>2444</v>
      </c>
      <c r="B371" s="1745" t="s">
        <v>3</v>
      </c>
      <c r="C371" s="1745" t="s">
        <v>2937</v>
      </c>
      <c r="D371" s="1745" t="s">
        <v>2938</v>
      </c>
      <c r="E371" s="1745" t="s">
        <v>2939</v>
      </c>
      <c r="F371" s="1745" t="s">
        <v>2940</v>
      </c>
      <c r="G371" s="1745" t="s">
        <v>15</v>
      </c>
      <c r="H371" s="1745" t="s">
        <v>15</v>
      </c>
      <c r="I371" s="1745" t="s">
        <v>1062</v>
      </c>
    </row>
    <row r="372" spans="1:9" ht="11.25" customHeight="1">
      <c r="A372" s="1745" t="s">
        <v>2444</v>
      </c>
      <c r="B372" s="1745" t="s">
        <v>3</v>
      </c>
      <c r="C372" s="1745" t="s">
        <v>2944</v>
      </c>
      <c r="D372" s="1745" t="s">
        <v>2945</v>
      </c>
      <c r="E372" s="1745" t="s">
        <v>2909</v>
      </c>
      <c r="F372" s="1745" t="s">
        <v>2946</v>
      </c>
      <c r="G372" s="1745" t="s">
        <v>15</v>
      </c>
      <c r="H372" s="1745" t="s">
        <v>15</v>
      </c>
      <c r="I372" s="1745" t="s">
        <v>1062</v>
      </c>
    </row>
    <row r="373" spans="1:9" ht="11.25" customHeight="1">
      <c r="A373" s="1745" t="s">
        <v>2444</v>
      </c>
      <c r="B373" s="1745" t="s">
        <v>3</v>
      </c>
      <c r="C373" s="1745" t="s">
        <v>3175</v>
      </c>
      <c r="D373" s="1745" t="s">
        <v>3176</v>
      </c>
      <c r="E373" s="1745" t="s">
        <v>3177</v>
      </c>
      <c r="F373" s="1745" t="s">
        <v>2476</v>
      </c>
      <c r="G373" s="1745" t="s">
        <v>15</v>
      </c>
      <c r="H373" s="1745" t="s">
        <v>15</v>
      </c>
      <c r="I373" s="1745" t="s">
        <v>1115</v>
      </c>
    </row>
    <row r="374" spans="1:9" ht="11.25" customHeight="1">
      <c r="A374" s="1745" t="s">
        <v>2444</v>
      </c>
      <c r="B374" s="1745" t="s">
        <v>3</v>
      </c>
      <c r="C374" s="1745" t="s">
        <v>2445</v>
      </c>
      <c r="D374" s="1745" t="s">
        <v>2446</v>
      </c>
      <c r="E374" s="1745" t="s">
        <v>2447</v>
      </c>
      <c r="F374" s="1745" t="s">
        <v>2448</v>
      </c>
      <c r="G374" s="1745" t="s">
        <v>15</v>
      </c>
      <c r="H374" s="1745" t="s">
        <v>15</v>
      </c>
      <c r="I374" s="1745" t="s">
        <v>1115</v>
      </c>
    </row>
    <row r="375" spans="1:9" ht="11.25" customHeight="1">
      <c r="A375" s="1745" t="s">
        <v>2444</v>
      </c>
      <c r="B375" s="1745" t="s">
        <v>3</v>
      </c>
      <c r="C375" s="1745" t="s">
        <v>2449</v>
      </c>
      <c r="D375" s="1745" t="s">
        <v>2446</v>
      </c>
      <c r="E375" s="1745" t="s">
        <v>2447</v>
      </c>
      <c r="F375" s="1745" t="s">
        <v>2450</v>
      </c>
      <c r="G375" s="1745" t="s">
        <v>15</v>
      </c>
      <c r="H375" s="1745" t="s">
        <v>15</v>
      </c>
      <c r="I375" s="1745" t="s">
        <v>1115</v>
      </c>
    </row>
    <row r="376" spans="1:9" ht="11.25" customHeight="1">
      <c r="A376" s="1745" t="s">
        <v>2444</v>
      </c>
      <c r="B376" s="1745" t="s">
        <v>3</v>
      </c>
      <c r="C376" s="1745" t="s">
        <v>3178</v>
      </c>
      <c r="D376" s="1745" t="s">
        <v>3179</v>
      </c>
      <c r="E376" s="1745" t="s">
        <v>3180</v>
      </c>
      <c r="F376" s="1745" t="s">
        <v>3181</v>
      </c>
      <c r="G376" s="1745" t="s">
        <v>3182</v>
      </c>
      <c r="H376" s="1745" t="s">
        <v>15</v>
      </c>
      <c r="I376" s="1745" t="s">
        <v>1115</v>
      </c>
    </row>
    <row r="377" spans="1:9" ht="11.25" customHeight="1">
      <c r="A377" s="1745" t="s">
        <v>2444</v>
      </c>
      <c r="B377" s="1745" t="s">
        <v>3</v>
      </c>
      <c r="C377" s="1745" t="s">
        <v>2451</v>
      </c>
      <c r="D377" s="1745" t="s">
        <v>2452</v>
      </c>
      <c r="E377" s="1745" t="s">
        <v>2453</v>
      </c>
      <c r="F377" s="1745" t="s">
        <v>2454</v>
      </c>
      <c r="G377" s="1745" t="s">
        <v>15</v>
      </c>
      <c r="H377" s="1745" t="s">
        <v>15</v>
      </c>
      <c r="I377" s="1745" t="s">
        <v>1115</v>
      </c>
    </row>
    <row r="378" spans="1:9" ht="11.25" customHeight="1">
      <c r="A378" s="1745" t="s">
        <v>2444</v>
      </c>
      <c r="B378" s="1745" t="s">
        <v>3</v>
      </c>
      <c r="C378" s="1745" t="s">
        <v>2463</v>
      </c>
      <c r="D378" s="1745" t="s">
        <v>2464</v>
      </c>
      <c r="E378" s="1745" t="s">
        <v>2465</v>
      </c>
      <c r="F378" s="1745" t="s">
        <v>2466</v>
      </c>
      <c r="G378" s="1745" t="s">
        <v>15</v>
      </c>
      <c r="H378" s="1745" t="s">
        <v>15</v>
      </c>
      <c r="I378" s="1745" t="s">
        <v>1115</v>
      </c>
    </row>
    <row r="379" spans="1:9" ht="11.25" customHeight="1">
      <c r="A379" s="1745" t="s">
        <v>2444</v>
      </c>
      <c r="B379" s="1745" t="s">
        <v>3</v>
      </c>
      <c r="C379" s="1745" t="s">
        <v>2473</v>
      </c>
      <c r="D379" s="1745" t="s">
        <v>2474</v>
      </c>
      <c r="E379" s="1745" t="s">
        <v>2475</v>
      </c>
      <c r="F379" s="1745" t="s">
        <v>2476</v>
      </c>
      <c r="G379" s="1745" t="s">
        <v>15</v>
      </c>
      <c r="H379" s="1745" t="s">
        <v>15</v>
      </c>
      <c r="I379" s="1745" t="s">
        <v>1115</v>
      </c>
    </row>
    <row r="380" spans="1:9" ht="11.25" customHeight="1">
      <c r="A380" s="1745" t="s">
        <v>2444</v>
      </c>
      <c r="B380" s="1745" t="s">
        <v>3</v>
      </c>
      <c r="C380" s="1745" t="s">
        <v>3183</v>
      </c>
      <c r="D380" s="1745" t="s">
        <v>3184</v>
      </c>
      <c r="E380" s="1745" t="s">
        <v>3185</v>
      </c>
      <c r="F380" s="1745" t="s">
        <v>2476</v>
      </c>
      <c r="G380" s="1745" t="s">
        <v>15</v>
      </c>
      <c r="H380" s="1745" t="s">
        <v>15</v>
      </c>
      <c r="I380" s="1745" t="s">
        <v>1115</v>
      </c>
    </row>
    <row r="381" spans="1:9" ht="11.25" customHeight="1">
      <c r="A381" s="1745" t="s">
        <v>2444</v>
      </c>
      <c r="B381" s="1745" t="s">
        <v>3</v>
      </c>
      <c r="C381" s="1745" t="s">
        <v>2477</v>
      </c>
      <c r="D381" s="1745" t="s">
        <v>2478</v>
      </c>
      <c r="E381" s="1745" t="s">
        <v>2479</v>
      </c>
      <c r="F381" s="1745" t="s">
        <v>2480</v>
      </c>
      <c r="G381" s="1745" t="s">
        <v>15</v>
      </c>
      <c r="H381" s="1745" t="s">
        <v>15</v>
      </c>
      <c r="I381" s="1745" t="s">
        <v>1115</v>
      </c>
    </row>
    <row r="382" spans="1:9" ht="11.25" customHeight="1">
      <c r="A382" s="1745" t="s">
        <v>2444</v>
      </c>
      <c r="B382" s="1745" t="s">
        <v>3</v>
      </c>
      <c r="C382" s="1745" t="s">
        <v>15</v>
      </c>
      <c r="D382" s="1745" t="s">
        <v>2546</v>
      </c>
      <c r="E382" s="1745" t="s">
        <v>2547</v>
      </c>
      <c r="F382" s="1745" t="s">
        <v>2491</v>
      </c>
      <c r="G382" s="1745" t="s">
        <v>15</v>
      </c>
      <c r="H382" s="1745" t="s">
        <v>15</v>
      </c>
      <c r="I382" s="1745" t="s">
        <v>1115</v>
      </c>
    </row>
    <row r="383" spans="1:9" ht="11.25" customHeight="1">
      <c r="A383" s="1745" t="s">
        <v>2444</v>
      </c>
      <c r="B383" s="1745" t="s">
        <v>3</v>
      </c>
      <c r="C383" s="1745" t="s">
        <v>2955</v>
      </c>
      <c r="D383" s="1745" t="s">
        <v>2956</v>
      </c>
      <c r="E383" s="1745" t="s">
        <v>2957</v>
      </c>
      <c r="F383" s="1745" t="s">
        <v>2544</v>
      </c>
      <c r="G383" s="1745" t="s">
        <v>15</v>
      </c>
      <c r="H383" s="1745" t="s">
        <v>15</v>
      </c>
      <c r="I383" s="1745" t="s">
        <v>1115</v>
      </c>
    </row>
    <row r="384" spans="1:9" ht="11.25" customHeight="1">
      <c r="A384" s="1745" t="s">
        <v>2444</v>
      </c>
      <c r="B384" s="1745" t="s">
        <v>3</v>
      </c>
      <c r="C384" s="1745" t="s">
        <v>2958</v>
      </c>
      <c r="D384" s="1745" t="s">
        <v>2959</v>
      </c>
      <c r="E384" s="1745" t="s">
        <v>2960</v>
      </c>
      <c r="F384" s="1745" t="s">
        <v>2673</v>
      </c>
      <c r="G384" s="1745" t="s">
        <v>2961</v>
      </c>
      <c r="H384" s="1745" t="s">
        <v>15</v>
      </c>
      <c r="I384" s="1745" t="s">
        <v>1115</v>
      </c>
    </row>
    <row r="385" spans="1:9" ht="11.25" customHeight="1">
      <c r="A385" s="1745" t="s">
        <v>2444</v>
      </c>
      <c r="B385" s="1745" t="s">
        <v>3</v>
      </c>
      <c r="C385" s="1745" t="s">
        <v>2962</v>
      </c>
      <c r="D385" s="1745" t="s">
        <v>2963</v>
      </c>
      <c r="E385" s="1745" t="s">
        <v>2964</v>
      </c>
      <c r="F385" s="1745" t="s">
        <v>2621</v>
      </c>
      <c r="G385" s="1745" t="s">
        <v>15</v>
      </c>
      <c r="H385" s="1745" t="s">
        <v>15</v>
      </c>
      <c r="I385" s="1745" t="s">
        <v>1115</v>
      </c>
    </row>
    <row r="386" spans="1:9" ht="11.25" customHeight="1">
      <c r="A386" s="1745" t="s">
        <v>2444</v>
      </c>
      <c r="B386" s="1745" t="s">
        <v>3</v>
      </c>
      <c r="C386" s="1745" t="s">
        <v>2965</v>
      </c>
      <c r="D386" s="1745" t="s">
        <v>2557</v>
      </c>
      <c r="E386" s="1745" t="s">
        <v>2966</v>
      </c>
      <c r="F386" s="1745" t="s">
        <v>2887</v>
      </c>
      <c r="G386" s="1745" t="s">
        <v>15</v>
      </c>
      <c r="H386" s="1745" t="s">
        <v>15</v>
      </c>
      <c r="I386" s="1745" t="s">
        <v>1115</v>
      </c>
    </row>
    <row r="387" spans="1:9" ht="11.25" customHeight="1">
      <c r="A387" s="1745" t="s">
        <v>2444</v>
      </c>
      <c r="B387" s="1745" t="s">
        <v>3</v>
      </c>
      <c r="C387" s="1745" t="s">
        <v>2556</v>
      </c>
      <c r="D387" s="1745" t="s">
        <v>2557</v>
      </c>
      <c r="E387" s="1745" t="s">
        <v>2558</v>
      </c>
      <c r="F387" s="1745" t="s">
        <v>2476</v>
      </c>
      <c r="G387" s="1745" t="s">
        <v>15</v>
      </c>
      <c r="H387" s="1745" t="s">
        <v>15</v>
      </c>
      <c r="I387" s="1745" t="s">
        <v>1115</v>
      </c>
    </row>
    <row r="388" spans="1:9" ht="11.25" customHeight="1">
      <c r="A388" s="1745" t="s">
        <v>2444</v>
      </c>
      <c r="B388" s="1745" t="s">
        <v>3</v>
      </c>
      <c r="C388" s="1745" t="s">
        <v>2967</v>
      </c>
      <c r="D388" s="1745" t="s">
        <v>2557</v>
      </c>
      <c r="E388" s="1745" t="s">
        <v>2968</v>
      </c>
      <c r="F388" s="1745" t="s">
        <v>2476</v>
      </c>
      <c r="G388" s="1745" t="s">
        <v>15</v>
      </c>
      <c r="H388" s="1745" t="s">
        <v>15</v>
      </c>
      <c r="I388" s="1745" t="s">
        <v>1115</v>
      </c>
    </row>
    <row r="389" spans="1:9" ht="11.25" customHeight="1">
      <c r="A389" s="1745" t="s">
        <v>2444</v>
      </c>
      <c r="B389" s="1745" t="s">
        <v>3</v>
      </c>
      <c r="C389" s="1745" t="s">
        <v>2969</v>
      </c>
      <c r="D389" s="1745" t="s">
        <v>2557</v>
      </c>
      <c r="E389" s="1745" t="s">
        <v>2970</v>
      </c>
      <c r="F389" s="1745" t="s">
        <v>2673</v>
      </c>
      <c r="G389" s="1745" t="s">
        <v>15</v>
      </c>
      <c r="H389" s="1745" t="s">
        <v>15</v>
      </c>
      <c r="I389" s="1745" t="s">
        <v>1115</v>
      </c>
    </row>
    <row r="390" spans="1:9" ht="11.25" customHeight="1">
      <c r="A390" s="1745" t="s">
        <v>2444</v>
      </c>
      <c r="B390" s="1745" t="s">
        <v>3</v>
      </c>
      <c r="C390" s="1745" t="s">
        <v>2971</v>
      </c>
      <c r="D390" s="1745" t="s">
        <v>2557</v>
      </c>
      <c r="E390" s="1745" t="s">
        <v>2972</v>
      </c>
      <c r="F390" s="1745" t="s">
        <v>2562</v>
      </c>
      <c r="G390" s="1745" t="s">
        <v>15</v>
      </c>
      <c r="H390" s="1745" t="s">
        <v>15</v>
      </c>
      <c r="I390" s="1745" t="s">
        <v>1115</v>
      </c>
    </row>
    <row r="391" spans="1:9" ht="11.25" customHeight="1">
      <c r="A391" s="1745" t="s">
        <v>2444</v>
      </c>
      <c r="B391" s="1745" t="s">
        <v>3</v>
      </c>
      <c r="C391" s="1745" t="s">
        <v>2973</v>
      </c>
      <c r="D391" s="1745" t="s">
        <v>2974</v>
      </c>
      <c r="E391" s="1745" t="s">
        <v>2975</v>
      </c>
      <c r="F391" s="1745" t="s">
        <v>2562</v>
      </c>
      <c r="G391" s="1745" t="s">
        <v>15</v>
      </c>
      <c r="H391" s="1745" t="s">
        <v>15</v>
      </c>
      <c r="I391" s="1745" t="s">
        <v>1115</v>
      </c>
    </row>
    <row r="392" spans="1:9" ht="11.25" customHeight="1">
      <c r="A392" s="1745" t="s">
        <v>2444</v>
      </c>
      <c r="B392" s="1745" t="s">
        <v>3</v>
      </c>
      <c r="C392" s="1745" t="s">
        <v>2980</v>
      </c>
      <c r="D392" s="1745" t="s">
        <v>2981</v>
      </c>
      <c r="E392" s="1745" t="s">
        <v>2982</v>
      </c>
      <c r="F392" s="1745" t="s">
        <v>2621</v>
      </c>
      <c r="G392" s="1745" t="s">
        <v>15</v>
      </c>
      <c r="H392" s="1745" t="s">
        <v>15</v>
      </c>
      <c r="I392" s="1745" t="s">
        <v>1115</v>
      </c>
    </row>
    <row r="393" spans="1:9" ht="11.25" customHeight="1">
      <c r="A393" s="1745" t="s">
        <v>2444</v>
      </c>
      <c r="B393" s="1745" t="s">
        <v>3</v>
      </c>
      <c r="C393" s="1745" t="s">
        <v>2983</v>
      </c>
      <c r="D393" s="1745" t="s">
        <v>2984</v>
      </c>
      <c r="E393" s="1745" t="s">
        <v>2985</v>
      </c>
      <c r="F393" s="1745" t="s">
        <v>2621</v>
      </c>
      <c r="G393" s="1745" t="s">
        <v>15</v>
      </c>
      <c r="H393" s="1745" t="s">
        <v>15</v>
      </c>
      <c r="I393" s="1745" t="s">
        <v>1115</v>
      </c>
    </row>
    <row r="394" spans="1:9" ht="11.25" customHeight="1">
      <c r="A394" s="1745" t="s">
        <v>2444</v>
      </c>
      <c r="B394" s="1745" t="s">
        <v>3</v>
      </c>
      <c r="C394" s="1745" t="s">
        <v>2986</v>
      </c>
      <c r="D394" s="1745" t="s">
        <v>2987</v>
      </c>
      <c r="E394" s="1745" t="s">
        <v>2988</v>
      </c>
      <c r="F394" s="1745" t="s">
        <v>2476</v>
      </c>
      <c r="G394" s="1745" t="s">
        <v>15</v>
      </c>
      <c r="H394" s="1745" t="s">
        <v>15</v>
      </c>
      <c r="I394" s="1745" t="s">
        <v>1115</v>
      </c>
    </row>
    <row r="395" spans="1:9" ht="11.25" customHeight="1">
      <c r="A395" s="1745" t="s">
        <v>2444</v>
      </c>
      <c r="B395" s="1745" t="s">
        <v>3</v>
      </c>
      <c r="C395" s="1745" t="s">
        <v>2989</v>
      </c>
      <c r="D395" s="1745" t="s">
        <v>2990</v>
      </c>
      <c r="E395" s="1745" t="s">
        <v>2991</v>
      </c>
      <c r="F395" s="1745" t="s">
        <v>2621</v>
      </c>
      <c r="G395" s="1745" t="s">
        <v>15</v>
      </c>
      <c r="H395" s="1745" t="s">
        <v>15</v>
      </c>
      <c r="I395" s="1745" t="s">
        <v>1115</v>
      </c>
    </row>
    <row r="396" spans="1:9" ht="11.25" customHeight="1">
      <c r="A396" s="1745" t="s">
        <v>2444</v>
      </c>
      <c r="B396" s="1745" t="s">
        <v>3</v>
      </c>
      <c r="C396" s="1745" t="s">
        <v>2992</v>
      </c>
      <c r="D396" s="1745" t="s">
        <v>2560</v>
      </c>
      <c r="E396" s="1745" t="s">
        <v>2993</v>
      </c>
      <c r="F396" s="1745" t="s">
        <v>2621</v>
      </c>
      <c r="G396" s="1745" t="s">
        <v>15</v>
      </c>
      <c r="H396" s="1745" t="s">
        <v>15</v>
      </c>
      <c r="I396" s="1745" t="s">
        <v>1115</v>
      </c>
    </row>
    <row r="397" spans="1:9" ht="11.25" customHeight="1">
      <c r="A397" s="1745" t="s">
        <v>2444</v>
      </c>
      <c r="B397" s="1745" t="s">
        <v>3</v>
      </c>
      <c r="C397" s="1745" t="s">
        <v>2994</v>
      </c>
      <c r="D397" s="1745" t="s">
        <v>2560</v>
      </c>
      <c r="E397" s="1745" t="s">
        <v>2995</v>
      </c>
      <c r="F397" s="1745" t="s">
        <v>2673</v>
      </c>
      <c r="G397" s="1745" t="s">
        <v>15</v>
      </c>
      <c r="H397" s="1745" t="s">
        <v>15</v>
      </c>
      <c r="I397" s="1745" t="s">
        <v>1115</v>
      </c>
    </row>
    <row r="398" spans="1:9" ht="11.25" customHeight="1">
      <c r="A398" s="1745" t="s">
        <v>2444</v>
      </c>
      <c r="B398" s="1745" t="s">
        <v>3</v>
      </c>
      <c r="C398" s="1745" t="s">
        <v>2559</v>
      </c>
      <c r="D398" s="1745" t="s">
        <v>2560</v>
      </c>
      <c r="E398" s="1745" t="s">
        <v>2561</v>
      </c>
      <c r="F398" s="1745" t="s">
        <v>2562</v>
      </c>
      <c r="G398" s="1745" t="s">
        <v>15</v>
      </c>
      <c r="H398" s="1745" t="s">
        <v>15</v>
      </c>
      <c r="I398" s="1745" t="s">
        <v>1115</v>
      </c>
    </row>
    <row r="399" spans="1:9" ht="11.25" customHeight="1">
      <c r="A399" s="1745" t="s">
        <v>2444</v>
      </c>
      <c r="B399" s="1745" t="s">
        <v>3</v>
      </c>
      <c r="C399" s="1745" t="s">
        <v>2996</v>
      </c>
      <c r="D399" s="1745" t="s">
        <v>2997</v>
      </c>
      <c r="E399" s="1745" t="s">
        <v>2998</v>
      </c>
      <c r="F399" s="1745" t="s">
        <v>2466</v>
      </c>
      <c r="G399" s="1745" t="s">
        <v>2999</v>
      </c>
      <c r="H399" s="1745" t="s">
        <v>15</v>
      </c>
      <c r="I399" s="1745" t="s">
        <v>1115</v>
      </c>
    </row>
    <row r="400" spans="1:9" ht="11.25" customHeight="1">
      <c r="A400" s="1745" t="s">
        <v>2444</v>
      </c>
      <c r="B400" s="1745" t="s">
        <v>3</v>
      </c>
      <c r="C400" s="1745" t="s">
        <v>3000</v>
      </c>
      <c r="D400" s="1745" t="s">
        <v>3001</v>
      </c>
      <c r="E400" s="1745" t="s">
        <v>3002</v>
      </c>
      <c r="F400" s="1745" t="s">
        <v>2621</v>
      </c>
      <c r="G400" s="1745" t="s">
        <v>15</v>
      </c>
      <c r="H400" s="1745" t="s">
        <v>15</v>
      </c>
      <c r="I400" s="1745" t="s">
        <v>1115</v>
      </c>
    </row>
    <row r="401" spans="1:9" ht="11.25" customHeight="1">
      <c r="A401" s="1745" t="s">
        <v>2444</v>
      </c>
      <c r="B401" s="1745" t="s">
        <v>3</v>
      </c>
      <c r="C401" s="1745" t="s">
        <v>3003</v>
      </c>
      <c r="D401" s="1745" t="s">
        <v>3004</v>
      </c>
      <c r="E401" s="1745" t="s">
        <v>3005</v>
      </c>
      <c r="F401" s="1745" t="s">
        <v>2466</v>
      </c>
      <c r="G401" s="1745" t="s">
        <v>15</v>
      </c>
      <c r="H401" s="1745" t="s">
        <v>15</v>
      </c>
      <c r="I401" s="1745" t="s">
        <v>1115</v>
      </c>
    </row>
    <row r="402" spans="1:9" ht="11.25" customHeight="1">
      <c r="A402" s="1745" t="s">
        <v>2444</v>
      </c>
      <c r="B402" s="1745" t="s">
        <v>3</v>
      </c>
      <c r="C402" s="1745" t="s">
        <v>3006</v>
      </c>
      <c r="D402" s="1745" t="s">
        <v>3007</v>
      </c>
      <c r="E402" s="1745" t="s">
        <v>3008</v>
      </c>
      <c r="F402" s="1745" t="s">
        <v>3009</v>
      </c>
      <c r="G402" s="1745" t="s">
        <v>15</v>
      </c>
      <c r="H402" s="1745" t="s">
        <v>15</v>
      </c>
      <c r="I402" s="1745" t="s">
        <v>1115</v>
      </c>
    </row>
    <row r="403" spans="1:9" ht="11.25" customHeight="1">
      <c r="A403" s="1745" t="s">
        <v>2444</v>
      </c>
      <c r="B403" s="1745" t="s">
        <v>3</v>
      </c>
      <c r="C403" s="1745" t="s">
        <v>2563</v>
      </c>
      <c r="D403" s="1745" t="s">
        <v>2564</v>
      </c>
      <c r="E403" s="1745" t="s">
        <v>2565</v>
      </c>
      <c r="F403" s="1745" t="s">
        <v>2566</v>
      </c>
      <c r="G403" s="1745" t="s">
        <v>15</v>
      </c>
      <c r="H403" s="1745" t="s">
        <v>15</v>
      </c>
      <c r="I403" s="1745" t="s">
        <v>1115</v>
      </c>
    </row>
    <row r="404" spans="1:9" ht="11.25" customHeight="1">
      <c r="A404" s="1745" t="s">
        <v>2444</v>
      </c>
      <c r="B404" s="1745" t="s">
        <v>3</v>
      </c>
      <c r="C404" s="1745" t="s">
        <v>3010</v>
      </c>
      <c r="D404" s="1745" t="s">
        <v>3011</v>
      </c>
      <c r="E404" s="1745" t="s">
        <v>3012</v>
      </c>
      <c r="F404" s="1745" t="s">
        <v>2673</v>
      </c>
      <c r="G404" s="1745" t="s">
        <v>3013</v>
      </c>
      <c r="H404" s="1745" t="s">
        <v>15</v>
      </c>
      <c r="I404" s="1745" t="s">
        <v>1115</v>
      </c>
    </row>
    <row r="405" spans="1:9" ht="11.25" customHeight="1">
      <c r="A405" s="1745" t="s">
        <v>2444</v>
      </c>
      <c r="B405" s="1745" t="s">
        <v>3</v>
      </c>
      <c r="C405" s="1745" t="s">
        <v>2567</v>
      </c>
      <c r="D405" s="1745" t="s">
        <v>2568</v>
      </c>
      <c r="E405" s="1745" t="s">
        <v>2569</v>
      </c>
      <c r="F405" s="1745" t="s">
        <v>2570</v>
      </c>
      <c r="G405" s="1745" t="s">
        <v>15</v>
      </c>
      <c r="H405" s="1745" t="s">
        <v>15</v>
      </c>
      <c r="I405" s="1745" t="s">
        <v>1115</v>
      </c>
    </row>
    <row r="406" spans="1:9" ht="11.25" customHeight="1">
      <c r="A406" s="1745" t="s">
        <v>2444</v>
      </c>
      <c r="B406" s="1745" t="s">
        <v>3</v>
      </c>
      <c r="C406" s="1745" t="s">
        <v>2574</v>
      </c>
      <c r="D406" s="1745" t="s">
        <v>2575</v>
      </c>
      <c r="E406" s="1745" t="s">
        <v>2576</v>
      </c>
      <c r="F406" s="1745" t="s">
        <v>2466</v>
      </c>
      <c r="G406" s="1745" t="s">
        <v>15</v>
      </c>
      <c r="H406" s="1745" t="s">
        <v>15</v>
      </c>
      <c r="I406" s="1745" t="s">
        <v>1115</v>
      </c>
    </row>
    <row r="407" spans="1:9" ht="11.25" customHeight="1">
      <c r="A407" s="1745" t="s">
        <v>2444</v>
      </c>
      <c r="B407" s="1745" t="s">
        <v>3</v>
      </c>
      <c r="C407" s="1745" t="s">
        <v>2577</v>
      </c>
      <c r="D407" s="1745" t="s">
        <v>2578</v>
      </c>
      <c r="E407" s="1745" t="s">
        <v>2579</v>
      </c>
      <c r="F407" s="1745" t="s">
        <v>2580</v>
      </c>
      <c r="G407" s="1745" t="s">
        <v>2581</v>
      </c>
      <c r="H407" s="1745" t="s">
        <v>15</v>
      </c>
      <c r="I407" s="1745" t="s">
        <v>1115</v>
      </c>
    </row>
    <row r="408" spans="1:9" ht="11.25" customHeight="1">
      <c r="A408" s="1745" t="s">
        <v>2444</v>
      </c>
      <c r="B408" s="1745" t="s">
        <v>3</v>
      </c>
      <c r="C408" s="1745" t="s">
        <v>2591</v>
      </c>
      <c r="D408" s="1745" t="s">
        <v>2588</v>
      </c>
      <c r="E408" s="1745" t="s">
        <v>2592</v>
      </c>
      <c r="F408" s="1745" t="s">
        <v>2593</v>
      </c>
      <c r="G408" s="1745" t="s">
        <v>15</v>
      </c>
      <c r="H408" s="1745" t="s">
        <v>15</v>
      </c>
      <c r="I408" s="1745" t="s">
        <v>1115</v>
      </c>
    </row>
    <row r="409" spans="1:9" ht="11.25" customHeight="1">
      <c r="A409" s="1745" t="s">
        <v>2444</v>
      </c>
      <c r="B409" s="1745" t="s">
        <v>3</v>
      </c>
      <c r="C409" s="1745" t="s">
        <v>2594</v>
      </c>
      <c r="D409" s="1745" t="s">
        <v>2588</v>
      </c>
      <c r="E409" s="1745" t="s">
        <v>2595</v>
      </c>
      <c r="F409" s="1745" t="s">
        <v>2596</v>
      </c>
      <c r="G409" s="1745" t="s">
        <v>15</v>
      </c>
      <c r="H409" s="1745" t="s">
        <v>15</v>
      </c>
      <c r="I409" s="1745" t="s">
        <v>1115</v>
      </c>
    </row>
    <row r="410" spans="1:9" ht="11.25" customHeight="1">
      <c r="A410" s="1745" t="s">
        <v>2444</v>
      </c>
      <c r="B410" s="1745" t="s">
        <v>3</v>
      </c>
      <c r="C410" s="1745" t="s">
        <v>2597</v>
      </c>
      <c r="D410" s="1745" t="s">
        <v>2588</v>
      </c>
      <c r="E410" s="1745" t="s">
        <v>2598</v>
      </c>
      <c r="F410" s="1745" t="s">
        <v>2570</v>
      </c>
      <c r="G410" s="1745" t="s">
        <v>15</v>
      </c>
      <c r="H410" s="1745" t="s">
        <v>15</v>
      </c>
      <c r="I410" s="1745" t="s">
        <v>1115</v>
      </c>
    </row>
    <row r="411" spans="1:9" ht="11.25" customHeight="1">
      <c r="A411" s="1745" t="s">
        <v>2444</v>
      </c>
      <c r="B411" s="1745" t="s">
        <v>3</v>
      </c>
      <c r="C411" s="1745" t="s">
        <v>2599</v>
      </c>
      <c r="D411" s="1745" t="s">
        <v>2600</v>
      </c>
      <c r="E411" s="1745" t="s">
        <v>2601</v>
      </c>
      <c r="F411" s="1745" t="s">
        <v>2500</v>
      </c>
      <c r="G411" s="1745" t="s">
        <v>15</v>
      </c>
      <c r="H411" s="1745" t="s">
        <v>15</v>
      </c>
      <c r="I411" s="1745" t="s">
        <v>1115</v>
      </c>
    </row>
    <row r="412" spans="1:9" ht="11.25" customHeight="1">
      <c r="A412" s="1745" t="s">
        <v>2444</v>
      </c>
      <c r="B412" s="1745" t="s">
        <v>3</v>
      </c>
      <c r="C412" s="1745" t="s">
        <v>2602</v>
      </c>
      <c r="D412" s="1745" t="s">
        <v>2603</v>
      </c>
      <c r="E412" s="1745" t="s">
        <v>2604</v>
      </c>
      <c r="F412" s="1745" t="s">
        <v>2466</v>
      </c>
      <c r="G412" s="1745" t="s">
        <v>15</v>
      </c>
      <c r="H412" s="1745" t="s">
        <v>15</v>
      </c>
      <c r="I412" s="1745" t="s">
        <v>1115</v>
      </c>
    </row>
    <row r="413" spans="1:9" ht="11.25" customHeight="1">
      <c r="A413" s="1745" t="s">
        <v>2444</v>
      </c>
      <c r="B413" s="1745" t="s">
        <v>3</v>
      </c>
      <c r="C413" s="1745" t="s">
        <v>2605</v>
      </c>
      <c r="D413" s="1745" t="s">
        <v>2606</v>
      </c>
      <c r="E413" s="1745" t="s">
        <v>2607</v>
      </c>
      <c r="F413" s="1745" t="s">
        <v>2476</v>
      </c>
      <c r="G413" s="1745" t="s">
        <v>15</v>
      </c>
      <c r="H413" s="1745" t="s">
        <v>15</v>
      </c>
      <c r="I413" s="1745" t="s">
        <v>1115</v>
      </c>
    </row>
    <row r="414" spans="1:9" ht="11.25" customHeight="1">
      <c r="A414" s="1745" t="s">
        <v>2444</v>
      </c>
      <c r="B414" s="1745" t="s">
        <v>3</v>
      </c>
      <c r="C414" s="1745" t="s">
        <v>3028</v>
      </c>
      <c r="D414" s="1745" t="s">
        <v>3029</v>
      </c>
      <c r="E414" s="1745" t="s">
        <v>3030</v>
      </c>
      <c r="F414" s="1745" t="s">
        <v>2562</v>
      </c>
      <c r="G414" s="1745" t="s">
        <v>3031</v>
      </c>
      <c r="H414" s="1745" t="s">
        <v>15</v>
      </c>
      <c r="I414" s="1745" t="s">
        <v>1115</v>
      </c>
    </row>
    <row r="415" spans="1:9" ht="11.25" customHeight="1">
      <c r="A415" s="1745" t="s">
        <v>2444</v>
      </c>
      <c r="B415" s="1745" t="s">
        <v>3</v>
      </c>
      <c r="C415" s="1745" t="s">
        <v>3032</v>
      </c>
      <c r="D415" s="1745" t="s">
        <v>3033</v>
      </c>
      <c r="E415" s="1745" t="s">
        <v>3034</v>
      </c>
      <c r="F415" s="1745" t="s">
        <v>2476</v>
      </c>
      <c r="G415" s="1745" t="s">
        <v>15</v>
      </c>
      <c r="H415" s="1745" t="s">
        <v>15</v>
      </c>
      <c r="I415" s="1745" t="s">
        <v>1115</v>
      </c>
    </row>
    <row r="416" spans="1:9" ht="11.25" customHeight="1">
      <c r="A416" s="1745" t="s">
        <v>2444</v>
      </c>
      <c r="B416" s="1745" t="s">
        <v>3</v>
      </c>
      <c r="C416" s="1745" t="s">
        <v>3035</v>
      </c>
      <c r="D416" s="1745" t="s">
        <v>3036</v>
      </c>
      <c r="E416" s="1745" t="s">
        <v>3037</v>
      </c>
      <c r="F416" s="1745" t="s">
        <v>2476</v>
      </c>
      <c r="G416" s="1745" t="s">
        <v>15</v>
      </c>
      <c r="H416" s="1745" t="s">
        <v>15</v>
      </c>
      <c r="I416" s="1745" t="s">
        <v>1115</v>
      </c>
    </row>
    <row r="417" spans="1:9" ht="11.25" customHeight="1">
      <c r="A417" s="1745" t="s">
        <v>2444</v>
      </c>
      <c r="B417" s="1745" t="s">
        <v>3</v>
      </c>
      <c r="C417" s="1745" t="s">
        <v>2608</v>
      </c>
      <c r="D417" s="1745" t="s">
        <v>2609</v>
      </c>
      <c r="E417" s="1745" t="s">
        <v>2610</v>
      </c>
      <c r="F417" s="1745" t="s">
        <v>2466</v>
      </c>
      <c r="G417" s="1745" t="s">
        <v>2611</v>
      </c>
      <c r="H417" s="1745" t="s">
        <v>15</v>
      </c>
      <c r="I417" s="1745" t="s">
        <v>1115</v>
      </c>
    </row>
    <row r="418" spans="1:9" ht="11.25" customHeight="1">
      <c r="A418" s="1745" t="s">
        <v>2444</v>
      </c>
      <c r="B418" s="1745" t="s">
        <v>3</v>
      </c>
      <c r="C418" s="1745" t="s">
        <v>3041</v>
      </c>
      <c r="D418" s="1745" t="s">
        <v>3042</v>
      </c>
      <c r="E418" s="1745" t="s">
        <v>3043</v>
      </c>
      <c r="F418" s="1745" t="s">
        <v>2544</v>
      </c>
      <c r="G418" s="1745" t="s">
        <v>3044</v>
      </c>
      <c r="H418" s="1745" t="s">
        <v>15</v>
      </c>
      <c r="I418" s="1745" t="s">
        <v>1115</v>
      </c>
    </row>
    <row r="419" spans="1:9" ht="11.25" customHeight="1">
      <c r="A419" s="1745" t="s">
        <v>2444</v>
      </c>
      <c r="B419" s="1745" t="s">
        <v>3</v>
      </c>
      <c r="C419" s="1745" t="s">
        <v>3045</v>
      </c>
      <c r="D419" s="1745" t="s">
        <v>3046</v>
      </c>
      <c r="E419" s="1745" t="s">
        <v>3047</v>
      </c>
      <c r="F419" s="1745" t="s">
        <v>2540</v>
      </c>
      <c r="G419" s="1745" t="s">
        <v>15</v>
      </c>
      <c r="H419" s="1745" t="s">
        <v>15</v>
      </c>
      <c r="I419" s="1745" t="s">
        <v>1115</v>
      </c>
    </row>
    <row r="420" spans="1:9" ht="11.25" customHeight="1">
      <c r="A420" s="1745" t="s">
        <v>2444</v>
      </c>
      <c r="B420" s="1745" t="s">
        <v>3</v>
      </c>
      <c r="C420" s="1745" t="s">
        <v>2612</v>
      </c>
      <c r="D420" s="1745" t="s">
        <v>2613</v>
      </c>
      <c r="E420" s="1745" t="s">
        <v>2614</v>
      </c>
      <c r="F420" s="1745" t="s">
        <v>2551</v>
      </c>
      <c r="G420" s="1745" t="s">
        <v>15</v>
      </c>
      <c r="H420" s="1745" t="s">
        <v>15</v>
      </c>
      <c r="I420" s="1745" t="s">
        <v>1115</v>
      </c>
    </row>
    <row r="421" spans="1:9" ht="11.25" customHeight="1">
      <c r="A421" s="1745" t="s">
        <v>2444</v>
      </c>
      <c r="B421" s="1745" t="s">
        <v>3</v>
      </c>
      <c r="C421" s="1745" t="s">
        <v>3048</v>
      </c>
      <c r="D421" s="1745" t="s">
        <v>3049</v>
      </c>
      <c r="E421" s="1745" t="s">
        <v>3050</v>
      </c>
      <c r="F421" s="1745" t="s">
        <v>2466</v>
      </c>
      <c r="G421" s="1745" t="s">
        <v>15</v>
      </c>
      <c r="H421" s="1745" t="s">
        <v>15</v>
      </c>
      <c r="I421" s="1745" t="s">
        <v>1115</v>
      </c>
    </row>
    <row r="422" spans="1:9" ht="11.25" customHeight="1">
      <c r="A422" s="1745" t="s">
        <v>2444</v>
      </c>
      <c r="B422" s="1745" t="s">
        <v>3</v>
      </c>
      <c r="C422" s="1745" t="s">
        <v>3054</v>
      </c>
      <c r="D422" s="1745" t="s">
        <v>3055</v>
      </c>
      <c r="E422" s="1745" t="s">
        <v>3056</v>
      </c>
      <c r="F422" s="1745" t="s">
        <v>2562</v>
      </c>
      <c r="G422" s="1745" t="s">
        <v>15</v>
      </c>
      <c r="H422" s="1745" t="s">
        <v>15</v>
      </c>
      <c r="I422" s="1745" t="s">
        <v>1115</v>
      </c>
    </row>
    <row r="423" spans="1:9" ht="11.25" customHeight="1">
      <c r="A423" s="1745" t="s">
        <v>2444</v>
      </c>
      <c r="B423" s="1745" t="s">
        <v>3</v>
      </c>
      <c r="C423" s="1745" t="s">
        <v>2618</v>
      </c>
      <c r="D423" s="1745" t="s">
        <v>2619</v>
      </c>
      <c r="E423" s="1745" t="s">
        <v>2620</v>
      </c>
      <c r="F423" s="1745" t="s">
        <v>2621</v>
      </c>
      <c r="G423" s="1745" t="s">
        <v>15</v>
      </c>
      <c r="H423" s="1745" t="s">
        <v>15</v>
      </c>
      <c r="I423" s="1745" t="s">
        <v>1115</v>
      </c>
    </row>
    <row r="424" spans="1:9" ht="11.25" customHeight="1">
      <c r="A424" s="1745" t="s">
        <v>2444</v>
      </c>
      <c r="B424" s="1745" t="s">
        <v>3</v>
      </c>
      <c r="C424" s="1745" t="s">
        <v>2622</v>
      </c>
      <c r="D424" s="1745" t="s">
        <v>2623</v>
      </c>
      <c r="E424" s="1745" t="s">
        <v>2624</v>
      </c>
      <c r="F424" s="1745" t="s">
        <v>2562</v>
      </c>
      <c r="G424" s="1745" t="s">
        <v>2625</v>
      </c>
      <c r="H424" s="1745" t="s">
        <v>15</v>
      </c>
      <c r="I424" s="1745" t="s">
        <v>1115</v>
      </c>
    </row>
    <row r="425" spans="1:9" ht="11.25" customHeight="1">
      <c r="A425" s="1745" t="s">
        <v>2444</v>
      </c>
      <c r="B425" s="1745" t="s">
        <v>3</v>
      </c>
      <c r="C425" s="1745" t="s">
        <v>2626</v>
      </c>
      <c r="D425" s="1745" t="s">
        <v>2627</v>
      </c>
      <c r="E425" s="1745" t="s">
        <v>2628</v>
      </c>
      <c r="F425" s="1745" t="s">
        <v>2466</v>
      </c>
      <c r="G425" s="1745" t="s">
        <v>15</v>
      </c>
      <c r="H425" s="1745" t="s">
        <v>15</v>
      </c>
      <c r="I425" s="1745" t="s">
        <v>1115</v>
      </c>
    </row>
    <row r="426" spans="1:9" ht="11.25" customHeight="1">
      <c r="A426" s="1745" t="s">
        <v>2444</v>
      </c>
      <c r="B426" s="1745" t="s">
        <v>3</v>
      </c>
      <c r="C426" s="1745" t="s">
        <v>3057</v>
      </c>
      <c r="D426" s="1745" t="s">
        <v>3058</v>
      </c>
      <c r="E426" s="1745" t="s">
        <v>3059</v>
      </c>
      <c r="F426" s="1745" t="s">
        <v>2544</v>
      </c>
      <c r="G426" s="1745" t="s">
        <v>3060</v>
      </c>
      <c r="H426" s="1745" t="s">
        <v>15</v>
      </c>
      <c r="I426" s="1745" t="s">
        <v>1115</v>
      </c>
    </row>
    <row r="427" spans="1:9" ht="11.25" customHeight="1">
      <c r="A427" s="1745" t="s">
        <v>2444</v>
      </c>
      <c r="B427" s="1745" t="s">
        <v>3</v>
      </c>
      <c r="C427" s="1745" t="s">
        <v>3061</v>
      </c>
      <c r="D427" s="1745" t="s">
        <v>3062</v>
      </c>
      <c r="E427" s="1745" t="s">
        <v>3063</v>
      </c>
      <c r="F427" s="1745" t="s">
        <v>2544</v>
      </c>
      <c r="G427" s="1745" t="s">
        <v>15</v>
      </c>
      <c r="H427" s="1745" t="s">
        <v>15</v>
      </c>
      <c r="I427" s="1745" t="s">
        <v>1115</v>
      </c>
    </row>
    <row r="428" spans="1:9" ht="11.25" customHeight="1">
      <c r="A428" s="1745" t="s">
        <v>2444</v>
      </c>
      <c r="B428" s="1745" t="s">
        <v>3</v>
      </c>
      <c r="C428" s="1745" t="s">
        <v>3064</v>
      </c>
      <c r="D428" s="1745" t="s">
        <v>3065</v>
      </c>
      <c r="E428" s="1745" t="s">
        <v>3066</v>
      </c>
      <c r="F428" s="1745" t="s">
        <v>2621</v>
      </c>
      <c r="G428" s="1745" t="s">
        <v>15</v>
      </c>
      <c r="H428" s="1745" t="s">
        <v>15</v>
      </c>
      <c r="I428" s="1745" t="s">
        <v>1115</v>
      </c>
    </row>
    <row r="429" spans="1:9" ht="11.25" customHeight="1">
      <c r="A429" s="1745" t="s">
        <v>2444</v>
      </c>
      <c r="B429" s="1745" t="s">
        <v>3</v>
      </c>
      <c r="C429" s="1745" t="s">
        <v>2634</v>
      </c>
      <c r="D429" s="1745" t="s">
        <v>2635</v>
      </c>
      <c r="E429" s="1745" t="s">
        <v>2636</v>
      </c>
      <c r="F429" s="1745" t="s">
        <v>2637</v>
      </c>
      <c r="G429" s="1745" t="s">
        <v>15</v>
      </c>
      <c r="H429" s="1745" t="s">
        <v>15</v>
      </c>
      <c r="I429" s="1745" t="s">
        <v>1115</v>
      </c>
    </row>
    <row r="430" spans="1:9" ht="11.25" customHeight="1">
      <c r="A430" s="1745" t="s">
        <v>2444</v>
      </c>
      <c r="B430" s="1745" t="s">
        <v>3</v>
      </c>
      <c r="C430" s="1745" t="s">
        <v>2638</v>
      </c>
      <c r="D430" s="1745" t="s">
        <v>2639</v>
      </c>
      <c r="E430" s="1745" t="s">
        <v>2640</v>
      </c>
      <c r="F430" s="1745" t="s">
        <v>2555</v>
      </c>
      <c r="G430" s="1745" t="s">
        <v>15</v>
      </c>
      <c r="H430" s="1745" t="s">
        <v>15</v>
      </c>
      <c r="I430" s="1745" t="s">
        <v>1115</v>
      </c>
    </row>
    <row r="431" spans="1:9" ht="11.25" customHeight="1">
      <c r="A431" s="1745" t="s">
        <v>2444</v>
      </c>
      <c r="B431" s="1745" t="s">
        <v>3</v>
      </c>
      <c r="C431" s="1745" t="s">
        <v>2641</v>
      </c>
      <c r="D431" s="1745" t="s">
        <v>2642</v>
      </c>
      <c r="E431" s="1745" t="s">
        <v>2643</v>
      </c>
      <c r="F431" s="1745" t="s">
        <v>2540</v>
      </c>
      <c r="G431" s="1745" t="s">
        <v>15</v>
      </c>
      <c r="H431" s="1745" t="s">
        <v>15</v>
      </c>
      <c r="I431" s="1745" t="s">
        <v>1115</v>
      </c>
    </row>
    <row r="432" spans="1:9" ht="11.25" customHeight="1">
      <c r="A432" s="1745" t="s">
        <v>2444</v>
      </c>
      <c r="B432" s="1745" t="s">
        <v>3</v>
      </c>
      <c r="C432" s="1745" t="s">
        <v>2644</v>
      </c>
      <c r="D432" s="1745" t="s">
        <v>2645</v>
      </c>
      <c r="E432" s="1745" t="s">
        <v>2646</v>
      </c>
      <c r="F432" s="1745" t="s">
        <v>2466</v>
      </c>
      <c r="G432" s="1745" t="s">
        <v>15</v>
      </c>
      <c r="H432" s="1745" t="s">
        <v>15</v>
      </c>
      <c r="I432" s="1745" t="s">
        <v>1115</v>
      </c>
    </row>
    <row r="433" spans="1:9" ht="11.25" customHeight="1">
      <c r="A433" s="1745" t="s">
        <v>2444</v>
      </c>
      <c r="B433" s="1745" t="s">
        <v>3</v>
      </c>
      <c r="C433" s="1745" t="s">
        <v>2647</v>
      </c>
      <c r="D433" s="1745" t="s">
        <v>2648</v>
      </c>
      <c r="E433" s="1745" t="s">
        <v>2649</v>
      </c>
      <c r="F433" s="1745" t="s">
        <v>2551</v>
      </c>
      <c r="G433" s="1745" t="s">
        <v>15</v>
      </c>
      <c r="H433" s="1745" t="s">
        <v>15</v>
      </c>
      <c r="I433" s="1745" t="s">
        <v>1115</v>
      </c>
    </row>
    <row r="434" spans="1:9" ht="11.25" customHeight="1">
      <c r="A434" s="1745" t="s">
        <v>2444</v>
      </c>
      <c r="B434" s="1745" t="s">
        <v>3</v>
      </c>
      <c r="C434" s="1745" t="s">
        <v>2650</v>
      </c>
      <c r="D434" s="1745" t="s">
        <v>2651</v>
      </c>
      <c r="E434" s="1745" t="s">
        <v>2652</v>
      </c>
      <c r="F434" s="1745" t="s">
        <v>2551</v>
      </c>
      <c r="G434" s="1745" t="s">
        <v>15</v>
      </c>
      <c r="H434" s="1745" t="s">
        <v>15</v>
      </c>
      <c r="I434" s="1745" t="s">
        <v>1115</v>
      </c>
    </row>
    <row r="435" spans="1:9" ht="11.25" customHeight="1">
      <c r="A435" s="1745" t="s">
        <v>2444</v>
      </c>
      <c r="B435" s="1745" t="s">
        <v>3</v>
      </c>
      <c r="C435" s="1745" t="s">
        <v>2653</v>
      </c>
      <c r="D435" s="1745" t="s">
        <v>2654</v>
      </c>
      <c r="E435" s="1745" t="s">
        <v>2655</v>
      </c>
      <c r="F435" s="1745" t="s">
        <v>2551</v>
      </c>
      <c r="G435" s="1745" t="s">
        <v>15</v>
      </c>
      <c r="H435" s="1745" t="s">
        <v>15</v>
      </c>
      <c r="I435" s="1745" t="s">
        <v>1115</v>
      </c>
    </row>
    <row r="436" spans="1:9" ht="11.25" customHeight="1">
      <c r="A436" s="1745" t="s">
        <v>2444</v>
      </c>
      <c r="B436" s="1745" t="s">
        <v>3</v>
      </c>
      <c r="C436" s="1745" t="s">
        <v>2659</v>
      </c>
      <c r="D436" s="1745" t="s">
        <v>2660</v>
      </c>
      <c r="E436" s="1745" t="s">
        <v>2661</v>
      </c>
      <c r="F436" s="1745" t="s">
        <v>2566</v>
      </c>
      <c r="G436" s="1745" t="s">
        <v>2662</v>
      </c>
      <c r="H436" s="1745" t="s">
        <v>15</v>
      </c>
      <c r="I436" s="1745" t="s">
        <v>1115</v>
      </c>
    </row>
    <row r="437" spans="1:9" ht="11.25" customHeight="1">
      <c r="A437" s="1745" t="s">
        <v>2444</v>
      </c>
      <c r="B437" s="1745" t="s">
        <v>3</v>
      </c>
      <c r="C437" s="1745" t="s">
        <v>2663</v>
      </c>
      <c r="D437" s="1745" t="s">
        <v>2664</v>
      </c>
      <c r="E437" s="1745" t="s">
        <v>2665</v>
      </c>
      <c r="F437" s="1745" t="s">
        <v>2466</v>
      </c>
      <c r="G437" s="1745" t="s">
        <v>15</v>
      </c>
      <c r="H437" s="1745" t="s">
        <v>15</v>
      </c>
      <c r="I437" s="1745" t="s">
        <v>1115</v>
      </c>
    </row>
    <row r="438" spans="1:9" ht="11.25" customHeight="1">
      <c r="A438" s="1745" t="s">
        <v>2444</v>
      </c>
      <c r="B438" s="1745" t="s">
        <v>3</v>
      </c>
      <c r="C438" s="1745" t="s">
        <v>2666</v>
      </c>
      <c r="D438" s="1745" t="s">
        <v>2667</v>
      </c>
      <c r="E438" s="1745" t="s">
        <v>2668</v>
      </c>
      <c r="F438" s="1745" t="s">
        <v>2669</v>
      </c>
      <c r="G438" s="1745" t="s">
        <v>15</v>
      </c>
      <c r="H438" s="1745" t="s">
        <v>15</v>
      </c>
      <c r="I438" s="1745" t="s">
        <v>1115</v>
      </c>
    </row>
    <row r="439" spans="1:9" ht="11.25" customHeight="1">
      <c r="A439" s="1745" t="s">
        <v>2444</v>
      </c>
      <c r="B439" s="1745" t="s">
        <v>3</v>
      </c>
      <c r="C439" s="1745" t="s">
        <v>2670</v>
      </c>
      <c r="D439" s="1745" t="s">
        <v>2671</v>
      </c>
      <c r="E439" s="1745" t="s">
        <v>2672</v>
      </c>
      <c r="F439" s="1745" t="s">
        <v>2673</v>
      </c>
      <c r="G439" s="1745" t="s">
        <v>15</v>
      </c>
      <c r="H439" s="1745" t="s">
        <v>15</v>
      </c>
      <c r="I439" s="1745" t="s">
        <v>1115</v>
      </c>
    </row>
    <row r="440" spans="1:9" ht="11.25" customHeight="1">
      <c r="A440" s="1745" t="s">
        <v>2444</v>
      </c>
      <c r="B440" s="1745" t="s">
        <v>3</v>
      </c>
      <c r="C440" s="1745" t="s">
        <v>3077</v>
      </c>
      <c r="D440" s="1745" t="s">
        <v>3078</v>
      </c>
      <c r="E440" s="1745" t="s">
        <v>3079</v>
      </c>
      <c r="F440" s="1745" t="s">
        <v>2621</v>
      </c>
      <c r="G440" s="1745" t="s">
        <v>15</v>
      </c>
      <c r="H440" s="1745" t="s">
        <v>15</v>
      </c>
      <c r="I440" s="1745" t="s">
        <v>1115</v>
      </c>
    </row>
    <row r="441" spans="1:9" ht="11.25" customHeight="1">
      <c r="A441" s="1745" t="s">
        <v>2444</v>
      </c>
      <c r="B441" s="1745" t="s">
        <v>3</v>
      </c>
      <c r="C441" s="1745" t="s">
        <v>2683</v>
      </c>
      <c r="D441" s="1745" t="s">
        <v>2684</v>
      </c>
      <c r="E441" s="1745" t="s">
        <v>2685</v>
      </c>
      <c r="F441" s="1745" t="s">
        <v>2673</v>
      </c>
      <c r="G441" s="1745" t="s">
        <v>15</v>
      </c>
      <c r="H441" s="1745" t="s">
        <v>15</v>
      </c>
      <c r="I441" s="1745" t="s">
        <v>1115</v>
      </c>
    </row>
    <row r="442" spans="1:9" ht="11.25" customHeight="1">
      <c r="A442" s="1745" t="s">
        <v>2444</v>
      </c>
      <c r="B442" s="1745" t="s">
        <v>3</v>
      </c>
      <c r="C442" s="1745" t="s">
        <v>3087</v>
      </c>
      <c r="D442" s="1745" t="s">
        <v>3088</v>
      </c>
      <c r="E442" s="1745" t="s">
        <v>3089</v>
      </c>
      <c r="F442" s="1745" t="s">
        <v>2632</v>
      </c>
      <c r="G442" s="1745" t="s">
        <v>15</v>
      </c>
      <c r="H442" s="1745" t="s">
        <v>15</v>
      </c>
      <c r="I442" s="1745" t="s">
        <v>1115</v>
      </c>
    </row>
    <row r="443" spans="1:9" ht="11.25" customHeight="1">
      <c r="A443" s="1745" t="s">
        <v>2444</v>
      </c>
      <c r="B443" s="1745" t="s">
        <v>3</v>
      </c>
      <c r="C443" s="1745" t="s">
        <v>2702</v>
      </c>
      <c r="D443" s="1745" t="s">
        <v>2703</v>
      </c>
      <c r="E443" s="1745" t="s">
        <v>2704</v>
      </c>
      <c r="F443" s="1745" t="s">
        <v>2705</v>
      </c>
      <c r="G443" s="1745" t="s">
        <v>15</v>
      </c>
      <c r="H443" s="1745" t="s">
        <v>15</v>
      </c>
      <c r="I443" s="1745" t="s">
        <v>1115</v>
      </c>
    </row>
    <row r="444" spans="1:9" ht="11.25" customHeight="1">
      <c r="A444" s="1745" t="s">
        <v>2444</v>
      </c>
      <c r="B444" s="1745" t="s">
        <v>3</v>
      </c>
      <c r="C444" s="1745" t="s">
        <v>3090</v>
      </c>
      <c r="D444" s="1745" t="s">
        <v>3091</v>
      </c>
      <c r="E444" s="1745" t="s">
        <v>3092</v>
      </c>
      <c r="F444" s="1745" t="s">
        <v>2621</v>
      </c>
      <c r="G444" s="1745" t="s">
        <v>15</v>
      </c>
      <c r="H444" s="1745" t="s">
        <v>15</v>
      </c>
      <c r="I444" s="1745" t="s">
        <v>1115</v>
      </c>
    </row>
    <row r="445" spans="1:9" ht="11.25" customHeight="1">
      <c r="A445" s="1745" t="s">
        <v>2444</v>
      </c>
      <c r="B445" s="1745" t="s">
        <v>3</v>
      </c>
      <c r="C445" s="1745" t="s">
        <v>3186</v>
      </c>
      <c r="D445" s="1745" t="s">
        <v>3187</v>
      </c>
      <c r="E445" s="1745" t="s">
        <v>3188</v>
      </c>
      <c r="F445" s="1745" t="s">
        <v>3189</v>
      </c>
      <c r="G445" s="1745" t="s">
        <v>15</v>
      </c>
      <c r="H445" s="1745" t="s">
        <v>15</v>
      </c>
      <c r="I445" s="1745" t="s">
        <v>1115</v>
      </c>
    </row>
    <row r="446" spans="1:9" ht="11.25" customHeight="1">
      <c r="A446" s="1745" t="s">
        <v>2444</v>
      </c>
      <c r="B446" s="1745" t="s">
        <v>3</v>
      </c>
      <c r="C446" s="1745" t="s">
        <v>3190</v>
      </c>
      <c r="D446" s="1745" t="s">
        <v>3191</v>
      </c>
      <c r="E446" s="1745" t="s">
        <v>3192</v>
      </c>
      <c r="F446" s="1745" t="s">
        <v>2466</v>
      </c>
      <c r="G446" s="1745" t="s">
        <v>3193</v>
      </c>
      <c r="H446" s="1745" t="s">
        <v>15</v>
      </c>
      <c r="I446" s="1745" t="s">
        <v>1115</v>
      </c>
    </row>
    <row r="447" spans="1:9" ht="11.25" customHeight="1">
      <c r="A447" s="1745" t="s">
        <v>2444</v>
      </c>
      <c r="B447" s="1745" t="s">
        <v>3</v>
      </c>
      <c r="C447" s="1745" t="s">
        <v>3194</v>
      </c>
      <c r="D447" s="1745" t="s">
        <v>3195</v>
      </c>
      <c r="E447" s="1745" t="s">
        <v>3196</v>
      </c>
      <c r="F447" s="1745" t="s">
        <v>2632</v>
      </c>
      <c r="G447" s="1745" t="s">
        <v>15</v>
      </c>
      <c r="H447" s="1745" t="s">
        <v>15</v>
      </c>
      <c r="I447" s="1745" t="s">
        <v>1115</v>
      </c>
    </row>
    <row r="448" spans="1:9" ht="11.25" customHeight="1">
      <c r="A448" s="1745" t="s">
        <v>2444</v>
      </c>
      <c r="B448" s="1745" t="s">
        <v>3</v>
      </c>
      <c r="C448" s="1745" t="s">
        <v>2712</v>
      </c>
      <c r="D448" s="1745" t="s">
        <v>2713</v>
      </c>
      <c r="E448" s="1745" t="s">
        <v>2714</v>
      </c>
      <c r="F448" s="1745" t="s">
        <v>38</v>
      </c>
      <c r="G448" s="1745" t="s">
        <v>15</v>
      </c>
      <c r="H448" s="1745" t="s">
        <v>15</v>
      </c>
      <c r="I448" s="1745" t="s">
        <v>1115</v>
      </c>
    </row>
    <row r="449" spans="1:9" ht="11.25" customHeight="1">
      <c r="A449" s="1745" t="s">
        <v>2444</v>
      </c>
      <c r="B449" s="1745" t="s">
        <v>3</v>
      </c>
      <c r="C449" s="1745" t="s">
        <v>3093</v>
      </c>
      <c r="D449" s="1745" t="s">
        <v>3094</v>
      </c>
      <c r="E449" s="1745" t="s">
        <v>3095</v>
      </c>
      <c r="F449" s="1745" t="s">
        <v>2566</v>
      </c>
      <c r="G449" s="1745" t="s">
        <v>15</v>
      </c>
      <c r="H449" s="1745" t="s">
        <v>15</v>
      </c>
      <c r="I449" s="1745" t="s">
        <v>1115</v>
      </c>
    </row>
    <row r="450" spans="1:9" ht="11.25" customHeight="1">
      <c r="A450" s="1745" t="s">
        <v>2444</v>
      </c>
      <c r="B450" s="1745" t="s">
        <v>3</v>
      </c>
      <c r="C450" s="1745" t="s">
        <v>2718</v>
      </c>
      <c r="D450" s="1745" t="s">
        <v>2719</v>
      </c>
      <c r="E450" s="1745" t="s">
        <v>2720</v>
      </c>
      <c r="F450" s="1745" t="s">
        <v>2632</v>
      </c>
      <c r="G450" s="1745" t="s">
        <v>15</v>
      </c>
      <c r="H450" s="1745" t="s">
        <v>15</v>
      </c>
      <c r="I450" s="1745" t="s">
        <v>1115</v>
      </c>
    </row>
    <row r="451" spans="1:9" ht="11.25" customHeight="1">
      <c r="A451" s="1745" t="s">
        <v>2444</v>
      </c>
      <c r="B451" s="1745" t="s">
        <v>3</v>
      </c>
      <c r="C451" s="1745" t="s">
        <v>3096</v>
      </c>
      <c r="D451" s="1745" t="s">
        <v>3097</v>
      </c>
      <c r="E451" s="1745" t="s">
        <v>3098</v>
      </c>
      <c r="F451" s="1745" t="s">
        <v>2632</v>
      </c>
      <c r="G451" s="1745" t="s">
        <v>15</v>
      </c>
      <c r="H451" s="1745" t="s">
        <v>15</v>
      </c>
      <c r="I451" s="1745" t="s">
        <v>1115</v>
      </c>
    </row>
    <row r="452" spans="1:9" ht="11.25" customHeight="1">
      <c r="A452" s="1745" t="s">
        <v>2444</v>
      </c>
      <c r="B452" s="1745" t="s">
        <v>3</v>
      </c>
      <c r="C452" s="1745" t="s">
        <v>2724</v>
      </c>
      <c r="D452" s="1745" t="s">
        <v>2725</v>
      </c>
      <c r="E452" s="1745" t="s">
        <v>2726</v>
      </c>
      <c r="F452" s="1745" t="s">
        <v>2566</v>
      </c>
      <c r="G452" s="1745" t="s">
        <v>15</v>
      </c>
      <c r="H452" s="1745" t="s">
        <v>15</v>
      </c>
      <c r="I452" s="1745" t="s">
        <v>1115</v>
      </c>
    </row>
    <row r="453" spans="1:9" ht="11.25" customHeight="1">
      <c r="A453" s="1745" t="s">
        <v>2444</v>
      </c>
      <c r="B453" s="1745" t="s">
        <v>3</v>
      </c>
      <c r="C453" s="1745" t="s">
        <v>2739</v>
      </c>
      <c r="D453" s="1745" t="s">
        <v>2740</v>
      </c>
      <c r="E453" s="1745" t="s">
        <v>2741</v>
      </c>
      <c r="F453" s="1745" t="s">
        <v>2673</v>
      </c>
      <c r="G453" s="1745" t="s">
        <v>15</v>
      </c>
      <c r="H453" s="1745" t="s">
        <v>15</v>
      </c>
      <c r="I453" s="1745" t="s">
        <v>1115</v>
      </c>
    </row>
    <row r="454" spans="1:9" ht="11.25" customHeight="1">
      <c r="A454" s="1745" t="s">
        <v>2444</v>
      </c>
      <c r="B454" s="1745" t="s">
        <v>3</v>
      </c>
      <c r="C454" s="1745" t="s">
        <v>2742</v>
      </c>
      <c r="D454" s="1745" t="s">
        <v>2743</v>
      </c>
      <c r="E454" s="1745" t="s">
        <v>2744</v>
      </c>
      <c r="F454" s="1745" t="s">
        <v>2673</v>
      </c>
      <c r="G454" s="1745" t="s">
        <v>2745</v>
      </c>
      <c r="H454" s="1745" t="s">
        <v>15</v>
      </c>
      <c r="I454" s="1745" t="s">
        <v>1115</v>
      </c>
    </row>
    <row r="455" spans="1:9" ht="11.25" customHeight="1">
      <c r="A455" s="1745" t="s">
        <v>2444</v>
      </c>
      <c r="B455" s="1745" t="s">
        <v>3</v>
      </c>
      <c r="C455" s="1745" t="s">
        <v>3102</v>
      </c>
      <c r="D455" s="1745" t="s">
        <v>3103</v>
      </c>
      <c r="E455" s="1745" t="s">
        <v>3104</v>
      </c>
      <c r="F455" s="1745" t="s">
        <v>2632</v>
      </c>
      <c r="G455" s="1745" t="s">
        <v>3105</v>
      </c>
      <c r="H455" s="1745" t="s">
        <v>15</v>
      </c>
      <c r="I455" s="1745" t="s">
        <v>1115</v>
      </c>
    </row>
    <row r="456" spans="1:9" ht="11.25" customHeight="1">
      <c r="A456" s="1745" t="s">
        <v>2444</v>
      </c>
      <c r="B456" s="1745" t="s">
        <v>3</v>
      </c>
      <c r="C456" s="1745" t="s">
        <v>2746</v>
      </c>
      <c r="D456" s="1745" t="s">
        <v>2747</v>
      </c>
      <c r="E456" s="1745" t="s">
        <v>2748</v>
      </c>
      <c r="F456" s="1745" t="s">
        <v>2466</v>
      </c>
      <c r="G456" s="1745" t="s">
        <v>2745</v>
      </c>
      <c r="H456" s="1745" t="s">
        <v>15</v>
      </c>
      <c r="I456" s="1745" t="s">
        <v>1115</v>
      </c>
    </row>
    <row r="457" spans="1:9" ht="11.25" customHeight="1">
      <c r="A457" s="1745" t="s">
        <v>2444</v>
      </c>
      <c r="B457" s="1745" t="s">
        <v>3</v>
      </c>
      <c r="C457" s="1745" t="s">
        <v>3197</v>
      </c>
      <c r="D457" s="1745" t="s">
        <v>3198</v>
      </c>
      <c r="E457" s="1745" t="s">
        <v>3199</v>
      </c>
      <c r="F457" s="1745" t="s">
        <v>2562</v>
      </c>
      <c r="G457" s="1745" t="s">
        <v>15</v>
      </c>
      <c r="H457" s="1745" t="s">
        <v>15</v>
      </c>
      <c r="I457" s="1745" t="s">
        <v>1115</v>
      </c>
    </row>
    <row r="458" spans="1:9" ht="11.25" customHeight="1">
      <c r="A458" s="1745" t="s">
        <v>2444</v>
      </c>
      <c r="B458" s="1745" t="s">
        <v>3</v>
      </c>
      <c r="C458" s="1745" t="s">
        <v>3109</v>
      </c>
      <c r="D458" s="1745" t="s">
        <v>3110</v>
      </c>
      <c r="E458" s="1745" t="s">
        <v>3111</v>
      </c>
      <c r="F458" s="1745" t="s">
        <v>2562</v>
      </c>
      <c r="G458" s="1745" t="s">
        <v>15</v>
      </c>
      <c r="H458" s="1745" t="s">
        <v>15</v>
      </c>
      <c r="I458" s="1745" t="s">
        <v>1115</v>
      </c>
    </row>
    <row r="459" spans="1:9" ht="11.25" customHeight="1">
      <c r="A459" s="1745" t="s">
        <v>2444</v>
      </c>
      <c r="B459" s="1745" t="s">
        <v>3</v>
      </c>
      <c r="C459" s="1745" t="s">
        <v>3112</v>
      </c>
      <c r="D459" s="1745" t="s">
        <v>3113</v>
      </c>
      <c r="E459" s="1745" t="s">
        <v>3114</v>
      </c>
      <c r="F459" s="1745" t="s">
        <v>2504</v>
      </c>
      <c r="G459" s="1745" t="s">
        <v>15</v>
      </c>
      <c r="H459" s="1745" t="s">
        <v>15</v>
      </c>
      <c r="I459" s="1745" t="s">
        <v>1115</v>
      </c>
    </row>
    <row r="460" spans="1:9" ht="11.25" customHeight="1">
      <c r="A460" s="1745" t="s">
        <v>2444</v>
      </c>
      <c r="B460" s="1745" t="s">
        <v>3</v>
      </c>
      <c r="C460" s="1745" t="s">
        <v>2756</v>
      </c>
      <c r="D460" s="1745" t="s">
        <v>2757</v>
      </c>
      <c r="E460" s="1745" t="s">
        <v>2758</v>
      </c>
      <c r="F460" s="1745" t="s">
        <v>2466</v>
      </c>
      <c r="G460" s="1745" t="s">
        <v>15</v>
      </c>
      <c r="H460" s="1745" t="s">
        <v>15</v>
      </c>
      <c r="I460" s="1745" t="s">
        <v>1115</v>
      </c>
    </row>
    <row r="461" spans="1:9" ht="11.25" customHeight="1">
      <c r="A461" s="1745" t="s">
        <v>2444</v>
      </c>
      <c r="B461" s="1745" t="s">
        <v>3</v>
      </c>
      <c r="C461" s="1745" t="s">
        <v>2759</v>
      </c>
      <c r="D461" s="1745" t="s">
        <v>2760</v>
      </c>
      <c r="E461" s="1745" t="s">
        <v>2761</v>
      </c>
      <c r="F461" s="1745" t="s">
        <v>2466</v>
      </c>
      <c r="G461" s="1745" t="s">
        <v>15</v>
      </c>
      <c r="H461" s="1745" t="s">
        <v>15</v>
      </c>
      <c r="I461" s="1745" t="s">
        <v>1115</v>
      </c>
    </row>
    <row r="462" spans="1:9" ht="11.25" customHeight="1">
      <c r="A462" s="1745" t="s">
        <v>2444</v>
      </c>
      <c r="B462" s="1745" t="s">
        <v>3</v>
      </c>
      <c r="C462" s="1745" t="s">
        <v>2762</v>
      </c>
      <c r="D462" s="1745" t="s">
        <v>2763</v>
      </c>
      <c r="E462" s="1745" t="s">
        <v>2764</v>
      </c>
      <c r="F462" s="1745" t="s">
        <v>2466</v>
      </c>
      <c r="G462" s="1745" t="s">
        <v>15</v>
      </c>
      <c r="H462" s="1745" t="s">
        <v>15</v>
      </c>
      <c r="I462" s="1745" t="s">
        <v>1115</v>
      </c>
    </row>
    <row r="463" spans="1:9" ht="11.25" customHeight="1">
      <c r="A463" s="1745" t="s">
        <v>2444</v>
      </c>
      <c r="B463" s="1745" t="s">
        <v>3</v>
      </c>
      <c r="C463" s="1745" t="s">
        <v>2768</v>
      </c>
      <c r="D463" s="1745" t="s">
        <v>2769</v>
      </c>
      <c r="E463" s="1745" t="s">
        <v>2770</v>
      </c>
      <c r="F463" s="1745" t="s">
        <v>2466</v>
      </c>
      <c r="G463" s="1745" t="s">
        <v>15</v>
      </c>
      <c r="H463" s="1745" t="s">
        <v>15</v>
      </c>
      <c r="I463" s="1745" t="s">
        <v>1115</v>
      </c>
    </row>
    <row r="464" spans="1:9" ht="11.25" customHeight="1">
      <c r="A464" s="1745" t="s">
        <v>2444</v>
      </c>
      <c r="B464" s="1745" t="s">
        <v>3</v>
      </c>
      <c r="C464" s="1745" t="s">
        <v>2774</v>
      </c>
      <c r="D464" s="1745" t="s">
        <v>2772</v>
      </c>
      <c r="E464" s="1745" t="s">
        <v>2775</v>
      </c>
      <c r="F464" s="1745" t="s">
        <v>2755</v>
      </c>
      <c r="G464" s="1745" t="s">
        <v>15</v>
      </c>
      <c r="H464" s="1745" t="s">
        <v>15</v>
      </c>
      <c r="I464" s="1745" t="s">
        <v>1115</v>
      </c>
    </row>
    <row r="465" spans="1:9" ht="11.25" customHeight="1">
      <c r="A465" s="1745" t="s">
        <v>2444</v>
      </c>
      <c r="B465" s="1745" t="s">
        <v>3</v>
      </c>
      <c r="C465" s="1745" t="s">
        <v>2776</v>
      </c>
      <c r="D465" s="1745" t="s">
        <v>2777</v>
      </c>
      <c r="E465" s="1745" t="s">
        <v>2778</v>
      </c>
      <c r="F465" s="1745" t="s">
        <v>2466</v>
      </c>
      <c r="G465" s="1745" t="s">
        <v>15</v>
      </c>
      <c r="H465" s="1745" t="s">
        <v>15</v>
      </c>
      <c r="I465" s="1745" t="s">
        <v>1115</v>
      </c>
    </row>
    <row r="466" spans="1:9" ht="11.25" customHeight="1">
      <c r="A466" s="1745" t="s">
        <v>2444</v>
      </c>
      <c r="B466" s="1745" t="s">
        <v>3</v>
      </c>
      <c r="C466" s="1745" t="s">
        <v>3115</v>
      </c>
      <c r="D466" s="1745" t="s">
        <v>3116</v>
      </c>
      <c r="E466" s="1745" t="s">
        <v>3117</v>
      </c>
      <c r="F466" s="1745" t="s">
        <v>2632</v>
      </c>
      <c r="G466" s="1745" t="s">
        <v>15</v>
      </c>
      <c r="H466" s="1745" t="s">
        <v>15</v>
      </c>
      <c r="I466" s="1745" t="s">
        <v>1115</v>
      </c>
    </row>
    <row r="467" spans="1:9" ht="11.25" customHeight="1">
      <c r="A467" s="1745" t="s">
        <v>2444</v>
      </c>
      <c r="B467" s="1745" t="s">
        <v>3</v>
      </c>
      <c r="C467" s="1745" t="s">
        <v>2779</v>
      </c>
      <c r="D467" s="1745" t="s">
        <v>2780</v>
      </c>
      <c r="E467" s="1745" t="s">
        <v>2781</v>
      </c>
      <c r="F467" s="1745" t="s">
        <v>2504</v>
      </c>
      <c r="G467" s="1745" t="s">
        <v>15</v>
      </c>
      <c r="H467" s="1745" t="s">
        <v>15</v>
      </c>
      <c r="I467" s="1745" t="s">
        <v>1115</v>
      </c>
    </row>
    <row r="468" spans="1:9" ht="11.25" customHeight="1">
      <c r="A468" s="1745" t="s">
        <v>2444</v>
      </c>
      <c r="B468" s="1745" t="s">
        <v>3</v>
      </c>
      <c r="C468" s="1745" t="s">
        <v>3125</v>
      </c>
      <c r="D468" s="1745" t="s">
        <v>3126</v>
      </c>
      <c r="E468" s="1745" t="s">
        <v>3127</v>
      </c>
      <c r="F468" s="1745" t="s">
        <v>2632</v>
      </c>
      <c r="G468" s="1745" t="s">
        <v>15</v>
      </c>
      <c r="H468" s="1745" t="s">
        <v>15</v>
      </c>
      <c r="I468" s="1745" t="s">
        <v>1115</v>
      </c>
    </row>
    <row r="469" spans="1:9" ht="11.25" customHeight="1">
      <c r="A469" s="1745" t="s">
        <v>2444</v>
      </c>
      <c r="B469" s="1745" t="s">
        <v>3</v>
      </c>
      <c r="C469" s="1745" t="s">
        <v>2788</v>
      </c>
      <c r="D469" s="1745" t="s">
        <v>2789</v>
      </c>
      <c r="E469" s="1745" t="s">
        <v>2790</v>
      </c>
      <c r="F469" s="1745" t="s">
        <v>2632</v>
      </c>
      <c r="G469" s="1745" t="s">
        <v>15</v>
      </c>
      <c r="H469" s="1745" t="s">
        <v>15</v>
      </c>
      <c r="I469" s="1745" t="s">
        <v>1115</v>
      </c>
    </row>
    <row r="470" spans="1:9" ht="11.25" customHeight="1">
      <c r="A470" s="1745" t="s">
        <v>2444</v>
      </c>
      <c r="B470" s="1745" t="s">
        <v>3</v>
      </c>
      <c r="C470" s="1745" t="s">
        <v>2791</v>
      </c>
      <c r="D470" s="1745" t="s">
        <v>2792</v>
      </c>
      <c r="E470" s="1745" t="s">
        <v>2793</v>
      </c>
      <c r="F470" s="1745" t="s">
        <v>2566</v>
      </c>
      <c r="G470" s="1745" t="s">
        <v>15</v>
      </c>
      <c r="H470" s="1745" t="s">
        <v>15</v>
      </c>
      <c r="I470" s="1745" t="s">
        <v>1115</v>
      </c>
    </row>
    <row r="471" spans="1:9" ht="11.25" customHeight="1">
      <c r="A471" s="1745" t="s">
        <v>2444</v>
      </c>
      <c r="B471" s="1745" t="s">
        <v>3</v>
      </c>
      <c r="C471" s="1745" t="s">
        <v>3128</v>
      </c>
      <c r="D471" s="1745" t="s">
        <v>3129</v>
      </c>
      <c r="E471" s="1745" t="s">
        <v>3130</v>
      </c>
      <c r="F471" s="1745" t="s">
        <v>2621</v>
      </c>
      <c r="G471" s="1745" t="s">
        <v>15</v>
      </c>
      <c r="H471" s="1745" t="s">
        <v>15</v>
      </c>
      <c r="I471" s="1745" t="s">
        <v>1115</v>
      </c>
    </row>
    <row r="472" spans="1:9" ht="11.25" customHeight="1">
      <c r="A472" s="1745" t="s">
        <v>2444</v>
      </c>
      <c r="B472" s="1745" t="s">
        <v>3</v>
      </c>
      <c r="C472" s="1745" t="s">
        <v>3131</v>
      </c>
      <c r="D472" s="1745" t="s">
        <v>3132</v>
      </c>
      <c r="E472" s="1745" t="s">
        <v>3133</v>
      </c>
      <c r="F472" s="1745" t="s">
        <v>2566</v>
      </c>
      <c r="G472" s="1745" t="s">
        <v>15</v>
      </c>
      <c r="H472" s="1745" t="s">
        <v>15</v>
      </c>
      <c r="I472" s="1745" t="s">
        <v>1115</v>
      </c>
    </row>
    <row r="473" spans="1:9" ht="11.25" customHeight="1">
      <c r="A473" s="1745" t="s">
        <v>2444</v>
      </c>
      <c r="B473" s="1745" t="s">
        <v>3</v>
      </c>
      <c r="C473" s="1745" t="s">
        <v>2806</v>
      </c>
      <c r="D473" s="1745" t="s">
        <v>2807</v>
      </c>
      <c r="E473" s="1745" t="s">
        <v>2808</v>
      </c>
      <c r="F473" s="1745" t="s">
        <v>2551</v>
      </c>
      <c r="G473" s="1745" t="s">
        <v>15</v>
      </c>
      <c r="H473" s="1745" t="s">
        <v>15</v>
      </c>
      <c r="I473" s="1745" t="s">
        <v>1115</v>
      </c>
    </row>
    <row r="474" spans="1:9" ht="11.25" customHeight="1">
      <c r="A474" s="1745" t="s">
        <v>2444</v>
      </c>
      <c r="B474" s="1745" t="s">
        <v>3</v>
      </c>
      <c r="C474" s="1745" t="s">
        <v>2809</v>
      </c>
      <c r="D474" s="1745" t="s">
        <v>2810</v>
      </c>
      <c r="E474" s="1745" t="s">
        <v>2811</v>
      </c>
      <c r="F474" s="1745" t="s">
        <v>2466</v>
      </c>
      <c r="G474" s="1745" t="s">
        <v>15</v>
      </c>
      <c r="H474" s="1745" t="s">
        <v>15</v>
      </c>
      <c r="I474" s="1745" t="s">
        <v>1115</v>
      </c>
    </row>
    <row r="475" spans="1:9" ht="11.25" customHeight="1">
      <c r="A475" s="1745" t="s">
        <v>2444</v>
      </c>
      <c r="B475" s="1745" t="s">
        <v>3</v>
      </c>
      <c r="C475" s="1745" t="s">
        <v>3200</v>
      </c>
      <c r="D475" s="1745" t="s">
        <v>3201</v>
      </c>
      <c r="E475" s="1745" t="s">
        <v>3202</v>
      </c>
      <c r="F475" s="1745" t="s">
        <v>3203</v>
      </c>
      <c r="G475" s="1745" t="s">
        <v>3204</v>
      </c>
      <c r="H475" s="1745" t="s">
        <v>15</v>
      </c>
      <c r="I475" s="1745" t="s">
        <v>1115</v>
      </c>
    </row>
    <row r="476" spans="1:9" ht="11.25" customHeight="1">
      <c r="A476" s="1745" t="s">
        <v>2444</v>
      </c>
      <c r="B476" s="1745" t="s">
        <v>3</v>
      </c>
      <c r="C476" s="1745" t="s">
        <v>3137</v>
      </c>
      <c r="D476" s="1745" t="s">
        <v>3138</v>
      </c>
      <c r="E476" s="1745" t="s">
        <v>3139</v>
      </c>
      <c r="F476" s="1745" t="s">
        <v>2621</v>
      </c>
      <c r="G476" s="1745" t="s">
        <v>15</v>
      </c>
      <c r="H476" s="1745" t="s">
        <v>15</v>
      </c>
      <c r="I476" s="1745" t="s">
        <v>1115</v>
      </c>
    </row>
    <row r="477" spans="1:9" ht="11.25" customHeight="1">
      <c r="A477" s="1745" t="s">
        <v>2444</v>
      </c>
      <c r="B477" s="1745" t="s">
        <v>3</v>
      </c>
      <c r="C477" s="1745" t="s">
        <v>2818</v>
      </c>
      <c r="D477" s="1745" t="s">
        <v>2819</v>
      </c>
      <c r="E477" s="1745" t="s">
        <v>2820</v>
      </c>
      <c r="F477" s="1745" t="s">
        <v>2621</v>
      </c>
      <c r="G477" s="1745" t="s">
        <v>15</v>
      </c>
      <c r="H477" s="1745" t="s">
        <v>15</v>
      </c>
      <c r="I477" s="1745" t="s">
        <v>1115</v>
      </c>
    </row>
    <row r="478" spans="1:9" ht="11.25" customHeight="1">
      <c r="A478" s="1745" t="s">
        <v>2444</v>
      </c>
      <c r="B478" s="1745" t="s">
        <v>3</v>
      </c>
      <c r="C478" s="1745" t="s">
        <v>2821</v>
      </c>
      <c r="D478" s="1745" t="s">
        <v>2822</v>
      </c>
      <c r="E478" s="1745" t="s">
        <v>2823</v>
      </c>
      <c r="F478" s="1745" t="s">
        <v>2566</v>
      </c>
      <c r="G478" s="1745" t="s">
        <v>15</v>
      </c>
      <c r="H478" s="1745" t="s">
        <v>15</v>
      </c>
      <c r="I478" s="1745" t="s">
        <v>1115</v>
      </c>
    </row>
    <row r="479" spans="1:9" ht="11.25" customHeight="1">
      <c r="A479" s="1745" t="s">
        <v>2444</v>
      </c>
      <c r="B479" s="1745" t="s">
        <v>3</v>
      </c>
      <c r="C479" s="1745" t="s">
        <v>3146</v>
      </c>
      <c r="D479" s="1745" t="s">
        <v>3147</v>
      </c>
      <c r="E479" s="1745" t="s">
        <v>3148</v>
      </c>
      <c r="F479" s="1745" t="s">
        <v>2533</v>
      </c>
      <c r="G479" s="1745" t="s">
        <v>15</v>
      </c>
      <c r="H479" s="1745" t="s">
        <v>15</v>
      </c>
      <c r="I479" s="1745" t="s">
        <v>1115</v>
      </c>
    </row>
    <row r="480" spans="1:9" ht="11.25" customHeight="1">
      <c r="A480" s="1745" t="s">
        <v>2444</v>
      </c>
      <c r="B480" s="1745" t="s">
        <v>3</v>
      </c>
      <c r="C480" s="1745" t="s">
        <v>3205</v>
      </c>
      <c r="D480" s="1745" t="s">
        <v>3206</v>
      </c>
      <c r="E480" s="1745" t="s">
        <v>3207</v>
      </c>
      <c r="F480" s="1745" t="s">
        <v>2466</v>
      </c>
      <c r="G480" s="1745" t="s">
        <v>3208</v>
      </c>
      <c r="H480" s="1745" t="s">
        <v>15</v>
      </c>
      <c r="I480" s="1745" t="s">
        <v>1115</v>
      </c>
    </row>
    <row r="481" spans="1:9" ht="11.25" customHeight="1">
      <c r="A481" s="1745" t="s">
        <v>2444</v>
      </c>
      <c r="B481" s="1745" t="s">
        <v>3</v>
      </c>
      <c r="C481" s="1745" t="s">
        <v>3149</v>
      </c>
      <c r="D481" s="1745" t="s">
        <v>3150</v>
      </c>
      <c r="E481" s="1745" t="s">
        <v>3151</v>
      </c>
      <c r="F481" s="1745" t="s">
        <v>2673</v>
      </c>
      <c r="G481" s="1745" t="s">
        <v>15</v>
      </c>
      <c r="H481" s="1745" t="s">
        <v>15</v>
      </c>
      <c r="I481" s="1745" t="s">
        <v>1115</v>
      </c>
    </row>
    <row r="482" spans="1:9" ht="11.25" customHeight="1">
      <c r="A482" s="1745" t="s">
        <v>2444</v>
      </c>
      <c r="B482" s="1745" t="s">
        <v>3</v>
      </c>
      <c r="C482" s="1745" t="s">
        <v>2874</v>
      </c>
      <c r="D482" s="1745" t="s">
        <v>2875</v>
      </c>
      <c r="E482" s="1745" t="s">
        <v>2876</v>
      </c>
      <c r="F482" s="1745" t="s">
        <v>2562</v>
      </c>
      <c r="G482" s="1745" t="s">
        <v>15</v>
      </c>
      <c r="H482" s="1745" t="s">
        <v>15</v>
      </c>
      <c r="I482" s="1745" t="s">
        <v>1115</v>
      </c>
    </row>
    <row r="483" spans="1:9" ht="11.25" customHeight="1">
      <c r="A483" s="1745" t="s">
        <v>2444</v>
      </c>
      <c r="B483" s="1745" t="s">
        <v>3</v>
      </c>
      <c r="C483" s="1745" t="s">
        <v>2877</v>
      </c>
      <c r="D483" s="1745" t="s">
        <v>2878</v>
      </c>
      <c r="E483" s="1745" t="s">
        <v>2879</v>
      </c>
      <c r="F483" s="1745" t="s">
        <v>2562</v>
      </c>
      <c r="G483" s="1745" t="s">
        <v>15</v>
      </c>
      <c r="H483" s="1745" t="s">
        <v>15</v>
      </c>
      <c r="I483" s="1745" t="s">
        <v>1115</v>
      </c>
    </row>
    <row r="484" spans="1:9" ht="11.25" customHeight="1">
      <c r="A484" s="1745" t="s">
        <v>2444</v>
      </c>
      <c r="B484" s="1745" t="s">
        <v>3</v>
      </c>
      <c r="C484" s="1745" t="s">
        <v>3152</v>
      </c>
      <c r="D484" s="1745" t="s">
        <v>3153</v>
      </c>
      <c r="E484" s="1745" t="s">
        <v>3154</v>
      </c>
      <c r="F484" s="1745" t="s">
        <v>2566</v>
      </c>
      <c r="G484" s="1745" t="s">
        <v>3155</v>
      </c>
      <c r="H484" s="1745" t="s">
        <v>15</v>
      </c>
      <c r="I484" s="1745" t="s">
        <v>1115</v>
      </c>
    </row>
    <row r="485" spans="1:9" ht="11.25" customHeight="1">
      <c r="A485" s="1745" t="s">
        <v>2444</v>
      </c>
      <c r="B485" s="1745" t="s">
        <v>3</v>
      </c>
      <c r="C485" s="1745" t="s">
        <v>2884</v>
      </c>
      <c r="D485" s="1745" t="s">
        <v>2885</v>
      </c>
      <c r="E485" s="1745" t="s">
        <v>2886</v>
      </c>
      <c r="F485" s="1745" t="s">
        <v>2887</v>
      </c>
      <c r="G485" s="1745" t="s">
        <v>15</v>
      </c>
      <c r="H485" s="1745" t="s">
        <v>15</v>
      </c>
      <c r="I485" s="1745" t="s">
        <v>1115</v>
      </c>
    </row>
    <row r="486" spans="1:9" ht="11.25" customHeight="1">
      <c r="A486" s="1745" t="s">
        <v>2444</v>
      </c>
      <c r="B486" s="1745" t="s">
        <v>3</v>
      </c>
      <c r="C486" s="1745" t="s">
        <v>2888</v>
      </c>
      <c r="D486" s="1745" t="s">
        <v>2889</v>
      </c>
      <c r="E486" s="1745" t="s">
        <v>2890</v>
      </c>
      <c r="F486" s="1745" t="s">
        <v>2891</v>
      </c>
      <c r="G486" s="1745" t="s">
        <v>15</v>
      </c>
      <c r="H486" s="1745" t="s">
        <v>15</v>
      </c>
      <c r="I486" s="1745" t="s">
        <v>1115</v>
      </c>
    </row>
    <row r="487" spans="1:9" ht="11.25" customHeight="1">
      <c r="A487" s="1745" t="s">
        <v>2444</v>
      </c>
      <c r="B487" s="1745" t="s">
        <v>3</v>
      </c>
      <c r="C487" s="1745" t="s">
        <v>2947</v>
      </c>
      <c r="D487" s="1745" t="s">
        <v>2889</v>
      </c>
      <c r="E487" s="1745" t="s">
        <v>2890</v>
      </c>
      <c r="F487" s="1745" t="s">
        <v>2948</v>
      </c>
      <c r="G487" s="1745" t="s">
        <v>15</v>
      </c>
      <c r="H487" s="1745" t="s">
        <v>15</v>
      </c>
      <c r="I487" s="1745" t="s">
        <v>1115</v>
      </c>
    </row>
    <row r="488" spans="1:9" ht="11.25" customHeight="1">
      <c r="A488" s="1745" t="s">
        <v>2444</v>
      </c>
      <c r="B488" s="1745" t="s">
        <v>3</v>
      </c>
      <c r="C488" s="1745" t="s">
        <v>3160</v>
      </c>
      <c r="D488" s="1745" t="s">
        <v>3161</v>
      </c>
      <c r="E488" s="1745" t="s">
        <v>3162</v>
      </c>
      <c r="F488" s="1745" t="s">
        <v>2673</v>
      </c>
      <c r="G488" s="1745" t="s">
        <v>15</v>
      </c>
      <c r="H488" s="1745" t="s">
        <v>15</v>
      </c>
      <c r="I488" s="1745" t="s">
        <v>1115</v>
      </c>
    </row>
    <row r="489" spans="1:9" ht="11.25" customHeight="1">
      <c r="A489" s="1745" t="s">
        <v>2444</v>
      </c>
      <c r="B489" s="1745" t="s">
        <v>3</v>
      </c>
      <c r="C489" s="1745" t="s">
        <v>3163</v>
      </c>
      <c r="D489" s="1745" t="s">
        <v>3164</v>
      </c>
      <c r="E489" s="1745" t="s">
        <v>3165</v>
      </c>
      <c r="F489" s="1745" t="s">
        <v>38</v>
      </c>
      <c r="G489" s="1745" t="s">
        <v>15</v>
      </c>
      <c r="H489" s="1745" t="s">
        <v>15</v>
      </c>
      <c r="I489" s="1745" t="s">
        <v>1115</v>
      </c>
    </row>
    <row r="490" spans="1:9" ht="11.25" customHeight="1">
      <c r="A490" s="1745" t="s">
        <v>2444</v>
      </c>
      <c r="B490" s="1745" t="s">
        <v>3</v>
      </c>
      <c r="C490" s="1745" t="s">
        <v>2895</v>
      </c>
      <c r="D490" s="1745" t="s">
        <v>2896</v>
      </c>
      <c r="E490" s="1745" t="s">
        <v>2897</v>
      </c>
      <c r="F490" s="1745" t="s">
        <v>2466</v>
      </c>
      <c r="G490" s="1745" t="s">
        <v>15</v>
      </c>
      <c r="H490" s="1745" t="s">
        <v>15</v>
      </c>
      <c r="I490" s="1745" t="s">
        <v>1115</v>
      </c>
    </row>
    <row r="491" spans="1:9" ht="11.25" customHeight="1">
      <c r="A491" s="1745" t="s">
        <v>2444</v>
      </c>
      <c r="B491" s="1745" t="s">
        <v>3</v>
      </c>
      <c r="C491" s="1745" t="s">
        <v>3172</v>
      </c>
      <c r="D491" s="1745" t="s">
        <v>3173</v>
      </c>
      <c r="E491" s="1745" t="s">
        <v>3174</v>
      </c>
      <c r="F491" s="1745" t="s">
        <v>2621</v>
      </c>
      <c r="G491" s="1745" t="s">
        <v>15</v>
      </c>
      <c r="H491" s="1745" t="s">
        <v>15</v>
      </c>
      <c r="I491" s="1745" t="s">
        <v>1115</v>
      </c>
    </row>
    <row r="492" spans="1:9" ht="11.25" customHeight="1">
      <c r="A492" s="1745" t="s">
        <v>2444</v>
      </c>
      <c r="B492" s="1745" t="s">
        <v>3</v>
      </c>
      <c r="C492" s="1745" t="s">
        <v>2904</v>
      </c>
      <c r="D492" s="1745" t="s">
        <v>2905</v>
      </c>
      <c r="E492" s="1745" t="s">
        <v>2668</v>
      </c>
      <c r="F492" s="1745" t="s">
        <v>2906</v>
      </c>
      <c r="G492" s="1745" t="s">
        <v>15</v>
      </c>
      <c r="H492" s="1745" t="s">
        <v>15</v>
      </c>
      <c r="I492" s="1745" t="s">
        <v>1115</v>
      </c>
    </row>
    <row r="493" spans="1:9" ht="11.25" customHeight="1">
      <c r="A493" s="1745" t="s">
        <v>2444</v>
      </c>
      <c r="B493" s="1745" t="s">
        <v>3</v>
      </c>
      <c r="C493" s="1745" t="s">
        <v>2913</v>
      </c>
      <c r="D493" s="1745" t="s">
        <v>2914</v>
      </c>
      <c r="E493" s="1745" t="s">
        <v>2915</v>
      </c>
      <c r="F493" s="1745" t="s">
        <v>2916</v>
      </c>
      <c r="G493" s="1745" t="s">
        <v>15</v>
      </c>
      <c r="H493" s="1745" t="s">
        <v>15</v>
      </c>
      <c r="I493" s="1745" t="s">
        <v>1115</v>
      </c>
    </row>
    <row r="494" spans="1:9" ht="11.25" customHeight="1">
      <c r="A494" s="1745" t="s">
        <v>2444</v>
      </c>
      <c r="B494" s="1745" t="s">
        <v>3</v>
      </c>
      <c r="C494" s="1745" t="s">
        <v>2921</v>
      </c>
      <c r="D494" s="1745" t="s">
        <v>2922</v>
      </c>
      <c r="E494" s="1745" t="s">
        <v>2923</v>
      </c>
      <c r="F494" s="1745" t="s">
        <v>2673</v>
      </c>
      <c r="G494" s="1745" t="s">
        <v>15</v>
      </c>
      <c r="H494" s="1745" t="s">
        <v>15</v>
      </c>
      <c r="I494" s="1745" t="s">
        <v>1115</v>
      </c>
    </row>
    <row r="495" spans="1:9" ht="11.25" customHeight="1">
      <c r="A495" s="1745" t="s">
        <v>2444</v>
      </c>
      <c r="B495" s="1745" t="s">
        <v>3</v>
      </c>
      <c r="C495" s="1745" t="s">
        <v>2924</v>
      </c>
      <c r="D495" s="1745" t="s">
        <v>2925</v>
      </c>
      <c r="E495" s="1745" t="s">
        <v>2926</v>
      </c>
      <c r="F495" s="1745" t="s">
        <v>2673</v>
      </c>
      <c r="G495" s="1745" t="s">
        <v>15</v>
      </c>
      <c r="H495" s="1745" t="s">
        <v>15</v>
      </c>
      <c r="I495" s="1745" t="s">
        <v>1115</v>
      </c>
    </row>
    <row r="496" spans="1:9" ht="11.25" customHeight="1">
      <c r="A496" s="1745" t="s">
        <v>2444</v>
      </c>
      <c r="B496" s="1745" t="s">
        <v>3</v>
      </c>
      <c r="C496" s="1745" t="s">
        <v>2927</v>
      </c>
      <c r="D496" s="1745" t="s">
        <v>2928</v>
      </c>
      <c r="E496" s="1745" t="s">
        <v>2929</v>
      </c>
      <c r="F496" s="1745" t="s">
        <v>2466</v>
      </c>
      <c r="G496" s="1745" t="s">
        <v>15</v>
      </c>
      <c r="H496" s="1745" t="s">
        <v>15</v>
      </c>
      <c r="I496" s="1745" t="s">
        <v>1115</v>
      </c>
    </row>
    <row r="497" spans="1:9" ht="11.25" customHeight="1">
      <c r="A497" s="1745" t="s">
        <v>2444</v>
      </c>
      <c r="B497" s="1745" t="s">
        <v>3</v>
      </c>
      <c r="C497" s="1745" t="s">
        <v>2937</v>
      </c>
      <c r="D497" s="1745" t="s">
        <v>2938</v>
      </c>
      <c r="E497" s="1745" t="s">
        <v>2939</v>
      </c>
      <c r="F497" s="1745" t="s">
        <v>2940</v>
      </c>
      <c r="G497" s="1745" t="s">
        <v>15</v>
      </c>
      <c r="H497" s="1745" t="s">
        <v>15</v>
      </c>
      <c r="I497" s="1745" t="s">
        <v>1115</v>
      </c>
    </row>
    <row r="498" spans="1:9" ht="11.25" customHeight="1">
      <c r="A498" s="1745" t="s">
        <v>2444</v>
      </c>
      <c r="B498" s="1745" t="s">
        <v>3</v>
      </c>
      <c r="C498" s="1745" t="s">
        <v>2944</v>
      </c>
      <c r="D498" s="1745" t="s">
        <v>2945</v>
      </c>
      <c r="E498" s="1745" t="s">
        <v>2909</v>
      </c>
      <c r="F498" s="1745" t="s">
        <v>2946</v>
      </c>
      <c r="G498" s="1745" t="s">
        <v>15</v>
      </c>
      <c r="H498" s="1745" t="s">
        <v>15</v>
      </c>
      <c r="I498" s="1745" t="s">
        <v>1115</v>
      </c>
    </row>
    <row r="499" spans="1:9" ht="11.25" customHeight="1">
      <c r="A499" s="1745" t="s">
        <v>2444</v>
      </c>
      <c r="B499" s="1745" t="s">
        <v>3</v>
      </c>
      <c r="C499" s="1745" t="s">
        <v>3209</v>
      </c>
      <c r="D499" s="1745" t="s">
        <v>3210</v>
      </c>
      <c r="E499" s="1745" t="s">
        <v>3211</v>
      </c>
      <c r="F499" s="1745" t="s">
        <v>38</v>
      </c>
      <c r="G499" s="1745" t="s">
        <v>15</v>
      </c>
      <c r="H499" s="1745" t="s">
        <v>15</v>
      </c>
      <c r="I499" s="1745" t="s">
        <v>1819</v>
      </c>
    </row>
    <row r="500" spans="1:9" ht="11.25" customHeight="1">
      <c r="A500" s="1745" t="s">
        <v>2444</v>
      </c>
      <c r="B500" s="1745" t="s">
        <v>3</v>
      </c>
      <c r="C500" s="1745" t="s">
        <v>15</v>
      </c>
      <c r="D500" s="1745" t="s">
        <v>2546</v>
      </c>
      <c r="E500" s="1745" t="s">
        <v>2547</v>
      </c>
      <c r="F500" s="1745" t="s">
        <v>2491</v>
      </c>
      <c r="G500" s="1745" t="s">
        <v>15</v>
      </c>
      <c r="H500" s="1745" t="s">
        <v>15</v>
      </c>
      <c r="I500" s="1745" t="s">
        <v>1819</v>
      </c>
    </row>
    <row r="501" spans="1:9" ht="11.25" customHeight="1">
      <c r="A501" s="1745" t="s">
        <v>2444</v>
      </c>
      <c r="B501" s="1745" t="s">
        <v>3</v>
      </c>
      <c r="C501" s="1745" t="s">
        <v>3212</v>
      </c>
      <c r="D501" s="1745" t="s">
        <v>3213</v>
      </c>
      <c r="E501" s="1745" t="s">
        <v>3214</v>
      </c>
      <c r="F501" s="1745" t="s">
        <v>38</v>
      </c>
      <c r="G501" s="1745" t="s">
        <v>15</v>
      </c>
      <c r="H501" s="1745" t="s">
        <v>15</v>
      </c>
      <c r="I501" s="1745" t="s">
        <v>1819</v>
      </c>
    </row>
    <row r="502" spans="1:9" ht="11.25" customHeight="1">
      <c r="A502" s="1745" t="s">
        <v>2444</v>
      </c>
      <c r="B502" s="1745" t="s">
        <v>3</v>
      </c>
      <c r="C502" s="1745" t="s">
        <v>3215</v>
      </c>
      <c r="D502" s="1745" t="s">
        <v>3216</v>
      </c>
      <c r="E502" s="1745" t="s">
        <v>3217</v>
      </c>
      <c r="F502" s="1745" t="s">
        <v>2673</v>
      </c>
      <c r="G502" s="1745" t="s">
        <v>15</v>
      </c>
      <c r="H502" s="1745" t="s">
        <v>15</v>
      </c>
      <c r="I502" s="1745" t="s">
        <v>1819</v>
      </c>
    </row>
    <row r="503" spans="1:9" ht="11.25" customHeight="1">
      <c r="A503" s="1745" t="s">
        <v>2444</v>
      </c>
      <c r="B503" s="1745" t="s">
        <v>3</v>
      </c>
      <c r="C503" s="1745" t="s">
        <v>3218</v>
      </c>
      <c r="D503" s="1745" t="s">
        <v>3219</v>
      </c>
      <c r="E503" s="1745" t="s">
        <v>3220</v>
      </c>
      <c r="F503" s="1745" t="s">
        <v>2466</v>
      </c>
      <c r="G503" s="1745" t="s">
        <v>15</v>
      </c>
      <c r="H503" s="1745" t="s">
        <v>15</v>
      </c>
      <c r="I503" s="1745" t="s">
        <v>1819</v>
      </c>
    </row>
    <row r="504" spans="1:9" ht="11.25" customHeight="1">
      <c r="A504" s="1745" t="s">
        <v>2444</v>
      </c>
      <c r="B504" s="1745" t="s">
        <v>3</v>
      </c>
      <c r="C504" s="1745" t="s">
        <v>2771</v>
      </c>
      <c r="D504" s="1745" t="s">
        <v>2772</v>
      </c>
      <c r="E504" s="1745" t="s">
        <v>2773</v>
      </c>
      <c r="F504" s="1745" t="s">
        <v>2566</v>
      </c>
      <c r="G504" s="1745" t="s">
        <v>15</v>
      </c>
      <c r="H504" s="1745" t="s">
        <v>15</v>
      </c>
      <c r="I504" s="1745" t="s">
        <v>1819</v>
      </c>
    </row>
    <row r="505" spans="1:9" ht="11.25" customHeight="1">
      <c r="A505" s="1745" t="s">
        <v>2444</v>
      </c>
      <c r="B505" s="1745" t="s">
        <v>3</v>
      </c>
      <c r="C505" s="1745" t="s">
        <v>3221</v>
      </c>
      <c r="D505" s="1745" t="s">
        <v>3222</v>
      </c>
      <c r="E505" s="1745" t="s">
        <v>3223</v>
      </c>
      <c r="F505" s="1745" t="s">
        <v>2551</v>
      </c>
      <c r="G505" s="1745" t="s">
        <v>15</v>
      </c>
      <c r="H505" s="1745" t="s">
        <v>15</v>
      </c>
      <c r="I505" s="1745" t="s">
        <v>1819</v>
      </c>
    </row>
    <row r="506" spans="1:9" ht="11.25" customHeight="1">
      <c r="A506" s="1745" t="s">
        <v>2444</v>
      </c>
      <c r="B506" s="1745" t="s">
        <v>3</v>
      </c>
      <c r="C506" s="1745" t="s">
        <v>3224</v>
      </c>
      <c r="D506" s="1745" t="s">
        <v>3225</v>
      </c>
      <c r="E506" s="1745" t="s">
        <v>3226</v>
      </c>
      <c r="F506" s="1745" t="s">
        <v>2632</v>
      </c>
      <c r="G506" s="1745" t="s">
        <v>15</v>
      </c>
      <c r="H506" s="1745" t="s">
        <v>15</v>
      </c>
      <c r="I506" s="1745" t="s">
        <v>1819</v>
      </c>
    </row>
    <row r="507" spans="1:9" ht="11.25" customHeight="1">
      <c r="A507" s="1745" t="s">
        <v>2444</v>
      </c>
      <c r="B507" s="1745" t="s">
        <v>3</v>
      </c>
      <c r="C507" s="1745" t="s">
        <v>3227</v>
      </c>
      <c r="D507" s="1745" t="s">
        <v>3228</v>
      </c>
      <c r="E507" s="1745" t="s">
        <v>3229</v>
      </c>
      <c r="F507" s="1745" t="s">
        <v>2476</v>
      </c>
      <c r="G507" s="1745" t="s">
        <v>15</v>
      </c>
      <c r="H507" s="1745" t="s">
        <v>15</v>
      </c>
      <c r="I507" s="1745" t="s">
        <v>1819</v>
      </c>
    </row>
    <row r="508" spans="1:9" ht="11.25" customHeight="1">
      <c r="A508" s="1745" t="s">
        <v>2444</v>
      </c>
      <c r="B508" s="1745" t="s">
        <v>3</v>
      </c>
      <c r="C508" s="1745" t="s">
        <v>2868</v>
      </c>
      <c r="D508" s="1745" t="s">
        <v>2869</v>
      </c>
      <c r="E508" s="1745" t="s">
        <v>2870</v>
      </c>
      <c r="F508" s="1745" t="s">
        <v>2632</v>
      </c>
      <c r="G508" s="1745" t="s">
        <v>15</v>
      </c>
      <c r="H508" s="1745" t="s">
        <v>15</v>
      </c>
      <c r="I508" s="1745" t="s">
        <v>1819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745"/>
  </cols>
  <sheetData>
    <row r="1" spans="1:7" ht="11.25" customHeight="1">
      <c r="A1" s="307" t="s">
        <v>3230</v>
      </c>
      <c r="B1" s="3" t="s">
        <v>3231</v>
      </c>
      <c r="C1" s="3" t="s">
        <v>3232</v>
      </c>
      <c r="D1" s="3" t="s">
        <v>3233</v>
      </c>
      <c r="E1" s="2" t="s">
        <v>3234</v>
      </c>
      <c r="F1" s="2" t="s">
        <v>3235</v>
      </c>
      <c r="G1" s="2" t="s">
        <v>3236</v>
      </c>
    </row>
    <row r="2" spans="1:7" ht="11.25" customHeight="1">
      <c r="A2" s="307" t="s">
        <v>3</v>
      </c>
      <c r="B2" t="s">
        <v>3237</v>
      </c>
      <c r="C2" t="s">
        <v>3238</v>
      </c>
      <c r="D2" t="s">
        <v>3237</v>
      </c>
      <c r="E2" t="s">
        <v>3238</v>
      </c>
      <c r="F2" t="s">
        <v>3239</v>
      </c>
      <c r="G2" t="s">
        <v>184</v>
      </c>
    </row>
    <row r="3" spans="1:7" ht="11.25" customHeight="1">
      <c r="A3" s="307" t="s">
        <v>3</v>
      </c>
      <c r="B3" t="s">
        <v>3240</v>
      </c>
      <c r="C3" t="s">
        <v>3241</v>
      </c>
      <c r="D3" t="s">
        <v>3240</v>
      </c>
      <c r="E3" t="s">
        <v>3241</v>
      </c>
      <c r="F3" t="s">
        <v>3242</v>
      </c>
      <c r="G3" t="s">
        <v>89</v>
      </c>
    </row>
    <row r="4" spans="1:7" ht="11.25" customHeight="1">
      <c r="A4" s="307" t="s">
        <v>3</v>
      </c>
      <c r="B4" t="s">
        <v>3240</v>
      </c>
      <c r="C4" t="s">
        <v>3241</v>
      </c>
      <c r="D4" t="s">
        <v>3243</v>
      </c>
      <c r="E4" t="s">
        <v>3244</v>
      </c>
      <c r="F4" t="s">
        <v>3245</v>
      </c>
      <c r="G4" t="s">
        <v>77</v>
      </c>
    </row>
    <row r="5" spans="1:7" ht="11.25" customHeight="1">
      <c r="A5" s="307" t="s">
        <v>3</v>
      </c>
      <c r="B5" t="s">
        <v>3240</v>
      </c>
      <c r="C5" t="s">
        <v>3241</v>
      </c>
      <c r="D5" t="s">
        <v>3246</v>
      </c>
      <c r="E5" t="s">
        <v>3247</v>
      </c>
      <c r="F5" t="s">
        <v>3248</v>
      </c>
      <c r="G5" t="s">
        <v>78</v>
      </c>
    </row>
    <row r="6" spans="1:7" ht="11.25" customHeight="1">
      <c r="A6" s="307" t="s">
        <v>3</v>
      </c>
      <c r="B6" t="s">
        <v>3240</v>
      </c>
      <c r="C6" t="s">
        <v>3241</v>
      </c>
      <c r="D6" t="s">
        <v>3249</v>
      </c>
      <c r="E6" t="s">
        <v>3250</v>
      </c>
      <c r="F6" t="s">
        <v>3248</v>
      </c>
      <c r="G6" t="s">
        <v>115</v>
      </c>
    </row>
    <row r="7" spans="1:7" ht="11.25" customHeight="1">
      <c r="A7" s="307" t="s">
        <v>3</v>
      </c>
      <c r="B7" t="s">
        <v>3240</v>
      </c>
      <c r="C7" t="s">
        <v>3241</v>
      </c>
      <c r="D7" t="s">
        <v>3251</v>
      </c>
      <c r="E7" t="s">
        <v>3252</v>
      </c>
      <c r="F7" t="s">
        <v>3248</v>
      </c>
      <c r="G7" t="s">
        <v>79</v>
      </c>
    </row>
    <row r="8" spans="1:7" ht="11.25" customHeight="1">
      <c r="A8" s="307" t="s">
        <v>3</v>
      </c>
      <c r="B8" t="s">
        <v>86</v>
      </c>
      <c r="C8" t="s">
        <v>87</v>
      </c>
      <c r="D8" t="s">
        <v>86</v>
      </c>
      <c r="E8" t="s">
        <v>87</v>
      </c>
      <c r="F8" t="s">
        <v>3239</v>
      </c>
      <c r="G8" t="s">
        <v>80</v>
      </c>
    </row>
    <row r="9" spans="1:7" ht="11.25" customHeight="1">
      <c r="A9" s="307" t="s">
        <v>3</v>
      </c>
      <c r="B9" t="s">
        <v>3253</v>
      </c>
      <c r="C9" t="s">
        <v>3254</v>
      </c>
      <c r="D9" t="s">
        <v>3255</v>
      </c>
      <c r="E9" t="s">
        <v>3256</v>
      </c>
      <c r="F9" t="s">
        <v>3248</v>
      </c>
      <c r="G9" t="s">
        <v>134</v>
      </c>
    </row>
    <row r="10" spans="1:7" ht="11.25" customHeight="1">
      <c r="A10" s="307" t="s">
        <v>3</v>
      </c>
      <c r="B10" t="s">
        <v>3253</v>
      </c>
      <c r="C10" t="s">
        <v>3254</v>
      </c>
      <c r="D10" t="s">
        <v>3253</v>
      </c>
      <c r="E10" t="s">
        <v>3254</v>
      </c>
      <c r="F10" t="s">
        <v>3242</v>
      </c>
      <c r="G10" t="s">
        <v>136</v>
      </c>
    </row>
    <row r="11" spans="1:7" ht="11.25" customHeight="1">
      <c r="A11" s="307" t="s">
        <v>3</v>
      </c>
      <c r="B11" t="s">
        <v>3253</v>
      </c>
      <c r="C11" t="s">
        <v>3254</v>
      </c>
      <c r="D11" t="s">
        <v>3257</v>
      </c>
      <c r="E11" t="s">
        <v>3258</v>
      </c>
      <c r="F11" t="s">
        <v>3245</v>
      </c>
      <c r="G11" t="s">
        <v>141</v>
      </c>
    </row>
    <row r="12" spans="1:7" ht="11.25" customHeight="1">
      <c r="A12" s="307" t="s">
        <v>3</v>
      </c>
      <c r="B12" t="s">
        <v>3253</v>
      </c>
      <c r="C12" t="s">
        <v>3254</v>
      </c>
      <c r="D12" t="s">
        <v>3259</v>
      </c>
      <c r="E12" t="s">
        <v>3260</v>
      </c>
      <c r="F12" t="s">
        <v>3248</v>
      </c>
      <c r="G12" t="s">
        <v>146</v>
      </c>
    </row>
    <row r="13" spans="1:7" ht="11.25" customHeight="1">
      <c r="A13" s="307" t="s">
        <v>3</v>
      </c>
      <c r="B13" t="s">
        <v>3253</v>
      </c>
      <c r="C13" t="s">
        <v>3254</v>
      </c>
      <c r="D13" t="s">
        <v>3261</v>
      </c>
      <c r="E13" t="s">
        <v>3262</v>
      </c>
      <c r="F13" t="s">
        <v>3248</v>
      </c>
      <c r="G13" t="s">
        <v>151</v>
      </c>
    </row>
    <row r="14" spans="1:7" ht="11.25" customHeight="1">
      <c r="A14" s="307" t="s">
        <v>3</v>
      </c>
      <c r="B14" t="s">
        <v>3253</v>
      </c>
      <c r="C14" t="s">
        <v>3254</v>
      </c>
      <c r="D14" t="s">
        <v>3263</v>
      </c>
      <c r="E14" t="s">
        <v>3264</v>
      </c>
      <c r="F14" t="s">
        <v>3248</v>
      </c>
      <c r="G14" t="s">
        <v>153</v>
      </c>
    </row>
    <row r="15" spans="1:7" ht="11.25" customHeight="1">
      <c r="A15" s="307" t="s">
        <v>3</v>
      </c>
      <c r="B15" t="s">
        <v>3253</v>
      </c>
      <c r="C15" t="s">
        <v>3254</v>
      </c>
      <c r="D15" t="s">
        <v>3265</v>
      </c>
      <c r="E15" t="s">
        <v>3266</v>
      </c>
      <c r="F15" t="s">
        <v>3248</v>
      </c>
      <c r="G15" t="s">
        <v>155</v>
      </c>
    </row>
    <row r="16" spans="1:7" ht="11.25" customHeight="1">
      <c r="A16" s="307" t="s">
        <v>3</v>
      </c>
      <c r="B16" t="s">
        <v>3253</v>
      </c>
      <c r="C16" t="s">
        <v>3254</v>
      </c>
      <c r="D16" t="s">
        <v>3267</v>
      </c>
      <c r="E16" t="s">
        <v>3268</v>
      </c>
      <c r="F16" t="s">
        <v>3248</v>
      </c>
      <c r="G16" t="s">
        <v>157</v>
      </c>
    </row>
    <row r="17" spans="1:7" ht="11.25" customHeight="1">
      <c r="A17" s="307" t="s">
        <v>3</v>
      </c>
      <c r="B17" t="s">
        <v>3253</v>
      </c>
      <c r="C17" t="s">
        <v>3254</v>
      </c>
      <c r="D17" t="s">
        <v>3269</v>
      </c>
      <c r="E17" t="s">
        <v>3270</v>
      </c>
      <c r="F17" t="s">
        <v>3248</v>
      </c>
      <c r="G17" t="s">
        <v>159</v>
      </c>
    </row>
    <row r="18" spans="1:7" ht="11.25" customHeight="1">
      <c r="A18" s="307" t="s">
        <v>3</v>
      </c>
      <c r="B18" t="s">
        <v>93</v>
      </c>
      <c r="C18" t="s">
        <v>94</v>
      </c>
      <c r="D18" t="s">
        <v>93</v>
      </c>
      <c r="E18" t="s">
        <v>94</v>
      </c>
      <c r="F18" t="s">
        <v>3239</v>
      </c>
      <c r="G18" t="s">
        <v>92</v>
      </c>
    </row>
    <row r="19" spans="1:7" ht="11.25" customHeight="1">
      <c r="A19" s="307" t="s">
        <v>3</v>
      </c>
      <c r="B19" t="s">
        <v>3271</v>
      </c>
      <c r="C19" t="s">
        <v>3272</v>
      </c>
      <c r="D19" t="s">
        <v>3271</v>
      </c>
      <c r="E19" t="s">
        <v>3272</v>
      </c>
      <c r="F19" t="s">
        <v>3242</v>
      </c>
      <c r="G19" t="s">
        <v>162</v>
      </c>
    </row>
    <row r="20" spans="1:7" ht="11.25" customHeight="1">
      <c r="A20" s="307" t="s">
        <v>3</v>
      </c>
      <c r="B20" t="s">
        <v>3271</v>
      </c>
      <c r="C20" t="s">
        <v>3272</v>
      </c>
      <c r="D20" t="s">
        <v>3273</v>
      </c>
      <c r="E20" t="s">
        <v>3274</v>
      </c>
      <c r="F20" t="s">
        <v>3245</v>
      </c>
      <c r="G20" t="s">
        <v>164</v>
      </c>
    </row>
    <row r="21" spans="1:7" ht="11.25" customHeight="1">
      <c r="A21" s="307" t="s">
        <v>3</v>
      </c>
      <c r="B21" t="s">
        <v>3271</v>
      </c>
      <c r="C21" t="s">
        <v>3272</v>
      </c>
      <c r="D21" t="s">
        <v>3275</v>
      </c>
      <c r="E21" t="s">
        <v>3276</v>
      </c>
      <c r="F21" t="s">
        <v>3248</v>
      </c>
      <c r="G21" t="s">
        <v>166</v>
      </c>
    </row>
    <row r="22" spans="1:7" ht="11.25" customHeight="1">
      <c r="A22" s="307" t="s">
        <v>3</v>
      </c>
      <c r="B22" t="s">
        <v>3271</v>
      </c>
      <c r="C22" t="s">
        <v>3272</v>
      </c>
      <c r="D22" t="s">
        <v>3277</v>
      </c>
      <c r="E22" t="s">
        <v>3278</v>
      </c>
      <c r="F22" t="s">
        <v>3248</v>
      </c>
      <c r="G22" t="s">
        <v>168</v>
      </c>
    </row>
    <row r="23" spans="1:7" ht="11.25" customHeight="1">
      <c r="A23" s="307" t="s">
        <v>3</v>
      </c>
      <c r="B23" t="s">
        <v>3271</v>
      </c>
      <c r="C23" t="s">
        <v>3272</v>
      </c>
      <c r="D23" t="s">
        <v>3279</v>
      </c>
      <c r="E23" t="s">
        <v>3280</v>
      </c>
      <c r="F23" t="s">
        <v>3248</v>
      </c>
      <c r="G23" t="s">
        <v>170</v>
      </c>
    </row>
    <row r="24" spans="1:7" ht="11.25" customHeight="1">
      <c r="A24" s="307" t="s">
        <v>3</v>
      </c>
      <c r="B24" t="s">
        <v>3281</v>
      </c>
      <c r="C24" t="s">
        <v>3282</v>
      </c>
      <c r="D24" t="s">
        <v>3281</v>
      </c>
      <c r="E24" t="s">
        <v>3282</v>
      </c>
      <c r="F24" t="s">
        <v>3239</v>
      </c>
      <c r="G24" t="s">
        <v>172</v>
      </c>
    </row>
    <row r="25" spans="1:7" ht="11.25" customHeight="1">
      <c r="A25" s="307" t="s">
        <v>3</v>
      </c>
      <c r="B25" t="s">
        <v>3283</v>
      </c>
      <c r="C25" t="s">
        <v>3284</v>
      </c>
      <c r="D25" t="s">
        <v>3285</v>
      </c>
      <c r="E25" t="s">
        <v>3286</v>
      </c>
      <c r="F25" t="s">
        <v>3248</v>
      </c>
      <c r="G25" t="s">
        <v>659</v>
      </c>
    </row>
    <row r="26" spans="1:7" ht="11.25" customHeight="1">
      <c r="A26" s="307" t="s">
        <v>3</v>
      </c>
      <c r="B26" t="s">
        <v>3283</v>
      </c>
      <c r="C26" t="s">
        <v>3284</v>
      </c>
      <c r="D26" t="s">
        <v>3283</v>
      </c>
      <c r="E26" t="s">
        <v>3284</v>
      </c>
      <c r="F26" t="s">
        <v>3242</v>
      </c>
      <c r="G26" t="s">
        <v>658</v>
      </c>
    </row>
    <row r="27" spans="1:7" ht="11.25" customHeight="1">
      <c r="A27" s="307" t="s">
        <v>3</v>
      </c>
      <c r="B27" t="s">
        <v>3283</v>
      </c>
      <c r="C27" t="s">
        <v>3284</v>
      </c>
      <c r="D27" t="s">
        <v>3287</v>
      </c>
      <c r="E27" t="s">
        <v>3288</v>
      </c>
      <c r="F27" t="s">
        <v>3248</v>
      </c>
      <c r="G27" t="s">
        <v>660</v>
      </c>
    </row>
    <row r="28" spans="1:7" ht="11.25" customHeight="1">
      <c r="A28" s="307" t="s">
        <v>3</v>
      </c>
      <c r="B28" t="s">
        <v>3283</v>
      </c>
      <c r="C28" t="s">
        <v>3284</v>
      </c>
      <c r="D28" t="s">
        <v>3289</v>
      </c>
      <c r="E28" t="s">
        <v>3290</v>
      </c>
      <c r="F28" t="s">
        <v>3248</v>
      </c>
      <c r="G28" t="s">
        <v>1771</v>
      </c>
    </row>
    <row r="29" spans="1:7" ht="11.25" customHeight="1">
      <c r="A29" s="307" t="s">
        <v>3</v>
      </c>
      <c r="B29" t="s">
        <v>3291</v>
      </c>
      <c r="C29" t="s">
        <v>3292</v>
      </c>
      <c r="D29" t="s">
        <v>3291</v>
      </c>
      <c r="E29" t="s">
        <v>3292</v>
      </c>
      <c r="F29" t="s">
        <v>3293</v>
      </c>
      <c r="G29" t="s">
        <v>1773</v>
      </c>
    </row>
    <row r="30" spans="1:7" ht="11.25" customHeight="1">
      <c r="A30" s="307" t="s">
        <v>3</v>
      </c>
      <c r="B30" t="s">
        <v>3294</v>
      </c>
      <c r="C30" t="s">
        <v>3295</v>
      </c>
      <c r="D30" t="s">
        <v>3294</v>
      </c>
      <c r="E30" t="s">
        <v>3295</v>
      </c>
      <c r="F30" t="s">
        <v>3293</v>
      </c>
      <c r="G30" t="s">
        <v>1776</v>
      </c>
    </row>
    <row r="31" spans="1:7" ht="11.25" customHeight="1">
      <c r="A31" s="307" t="s">
        <v>3</v>
      </c>
      <c r="B31" t="s">
        <v>3296</v>
      </c>
      <c r="C31" t="s">
        <v>3297</v>
      </c>
      <c r="D31" t="s">
        <v>3296</v>
      </c>
      <c r="E31" t="s">
        <v>3297</v>
      </c>
      <c r="F31" t="s">
        <v>3239</v>
      </c>
      <c r="G31" t="s">
        <v>1782</v>
      </c>
    </row>
    <row r="32" spans="1:7" ht="11.25" customHeight="1">
      <c r="A32" s="307" t="s">
        <v>3</v>
      </c>
      <c r="B32" t="s">
        <v>3298</v>
      </c>
      <c r="C32" t="s">
        <v>3299</v>
      </c>
      <c r="D32" t="s">
        <v>3300</v>
      </c>
      <c r="E32" t="s">
        <v>3301</v>
      </c>
      <c r="F32" t="s">
        <v>3248</v>
      </c>
      <c r="G32" t="s">
        <v>1784</v>
      </c>
    </row>
    <row r="33" spans="1:7" ht="11.25" customHeight="1">
      <c r="A33" s="307" t="s">
        <v>3</v>
      </c>
      <c r="B33" t="s">
        <v>3298</v>
      </c>
      <c r="C33" t="s">
        <v>3299</v>
      </c>
      <c r="D33" t="s">
        <v>3298</v>
      </c>
      <c r="E33" t="s">
        <v>3299</v>
      </c>
      <c r="F33" t="s">
        <v>3242</v>
      </c>
      <c r="G33" t="s">
        <v>1786</v>
      </c>
    </row>
    <row r="34" spans="1:7" ht="11.25" customHeight="1">
      <c r="A34" s="307" t="s">
        <v>3</v>
      </c>
      <c r="B34" t="s">
        <v>3298</v>
      </c>
      <c r="C34" t="s">
        <v>3299</v>
      </c>
      <c r="D34" t="s">
        <v>3302</v>
      </c>
      <c r="E34" t="s">
        <v>3303</v>
      </c>
      <c r="F34" t="s">
        <v>3245</v>
      </c>
      <c r="G34" t="s">
        <v>1788</v>
      </c>
    </row>
    <row r="35" spans="1:7" ht="11.25" customHeight="1">
      <c r="A35" s="307" t="s">
        <v>3</v>
      </c>
      <c r="B35" t="s">
        <v>3298</v>
      </c>
      <c r="C35" t="s">
        <v>3299</v>
      </c>
      <c r="D35" t="s">
        <v>3304</v>
      </c>
      <c r="E35" t="s">
        <v>3305</v>
      </c>
      <c r="F35" t="s">
        <v>3248</v>
      </c>
      <c r="G35" t="s">
        <v>1793</v>
      </c>
    </row>
    <row r="36" spans="1:7" ht="11.25" customHeight="1">
      <c r="A36" s="307" t="s">
        <v>3</v>
      </c>
      <c r="B36" t="s">
        <v>3298</v>
      </c>
      <c r="C36" t="s">
        <v>3299</v>
      </c>
      <c r="D36" t="s">
        <v>3306</v>
      </c>
      <c r="E36" t="s">
        <v>3307</v>
      </c>
      <c r="F36" t="s">
        <v>3308</v>
      </c>
      <c r="G36" t="s">
        <v>1798</v>
      </c>
    </row>
    <row r="37" spans="1:7" ht="11.25" customHeight="1">
      <c r="A37" s="307" t="s">
        <v>3</v>
      </c>
      <c r="B37" t="s">
        <v>3298</v>
      </c>
      <c r="C37" t="s">
        <v>3299</v>
      </c>
      <c r="D37" t="s">
        <v>3309</v>
      </c>
      <c r="E37" t="s">
        <v>3310</v>
      </c>
      <c r="F37" t="s">
        <v>3248</v>
      </c>
      <c r="G37" t="s">
        <v>1802</v>
      </c>
    </row>
    <row r="38" spans="1:7" ht="11.25" customHeight="1">
      <c r="A38" s="307" t="s">
        <v>3</v>
      </c>
      <c r="B38" t="s">
        <v>3298</v>
      </c>
      <c r="C38" t="s">
        <v>3299</v>
      </c>
      <c r="D38" t="s">
        <v>3311</v>
      </c>
      <c r="E38" t="s">
        <v>3312</v>
      </c>
      <c r="F38" t="s">
        <v>3248</v>
      </c>
      <c r="G38" t="s">
        <v>1810</v>
      </c>
    </row>
    <row r="39" spans="1:7" ht="11.25" customHeight="1">
      <c r="A39" s="307" t="s">
        <v>3</v>
      </c>
      <c r="B39" t="s">
        <v>132</v>
      </c>
      <c r="C39" t="s">
        <v>133</v>
      </c>
      <c r="D39" t="s">
        <v>132</v>
      </c>
      <c r="E39" t="s">
        <v>133</v>
      </c>
      <c r="F39" t="s">
        <v>3239</v>
      </c>
      <c r="G39" t="s">
        <v>131</v>
      </c>
    </row>
    <row r="40" spans="1:7" ht="11.25" customHeight="1">
      <c r="A40" s="307" t="s">
        <v>3</v>
      </c>
      <c r="B40" t="s">
        <v>3313</v>
      </c>
      <c r="C40" t="s">
        <v>3314</v>
      </c>
      <c r="D40" t="s">
        <v>3315</v>
      </c>
      <c r="E40" t="s">
        <v>3316</v>
      </c>
      <c r="F40" t="s">
        <v>3248</v>
      </c>
      <c r="G40" t="s">
        <v>1820</v>
      </c>
    </row>
    <row r="41" spans="1:7" ht="11.25" customHeight="1">
      <c r="A41" s="307" t="s">
        <v>3</v>
      </c>
      <c r="B41" t="s">
        <v>3313</v>
      </c>
      <c r="C41" t="s">
        <v>3314</v>
      </c>
      <c r="D41" t="s">
        <v>3317</v>
      </c>
      <c r="E41" t="s">
        <v>3318</v>
      </c>
      <c r="F41" t="s">
        <v>3308</v>
      </c>
      <c r="G41" t="s">
        <v>1824</v>
      </c>
    </row>
    <row r="42" spans="1:7" ht="11.25" customHeight="1">
      <c r="A42" s="307" t="s">
        <v>3</v>
      </c>
      <c r="B42" t="s">
        <v>3313</v>
      </c>
      <c r="C42" t="s">
        <v>3314</v>
      </c>
      <c r="D42" t="s">
        <v>3313</v>
      </c>
      <c r="E42" t="s">
        <v>3314</v>
      </c>
      <c r="F42" t="s">
        <v>3242</v>
      </c>
      <c r="G42" t="s">
        <v>1827</v>
      </c>
    </row>
    <row r="43" spans="1:7" ht="11.25" customHeight="1">
      <c r="A43" s="307" t="s">
        <v>3</v>
      </c>
      <c r="B43" t="s">
        <v>3313</v>
      </c>
      <c r="C43" t="s">
        <v>3314</v>
      </c>
      <c r="D43" t="s">
        <v>3319</v>
      </c>
      <c r="E43" t="s">
        <v>3320</v>
      </c>
      <c r="F43" t="s">
        <v>3245</v>
      </c>
      <c r="G43" t="s">
        <v>1834</v>
      </c>
    </row>
    <row r="44" spans="1:7" ht="11.25" customHeight="1">
      <c r="A44" s="307" t="s">
        <v>3</v>
      </c>
      <c r="B44" t="s">
        <v>3313</v>
      </c>
      <c r="C44" t="s">
        <v>3314</v>
      </c>
      <c r="D44" t="s">
        <v>3321</v>
      </c>
      <c r="E44" t="s">
        <v>3322</v>
      </c>
      <c r="F44" t="s">
        <v>3248</v>
      </c>
      <c r="G44" t="s">
        <v>1843</v>
      </c>
    </row>
    <row r="45" spans="1:7" ht="11.25" customHeight="1">
      <c r="A45" s="307" t="s">
        <v>3</v>
      </c>
      <c r="B45" t="s">
        <v>3313</v>
      </c>
      <c r="C45" t="s">
        <v>3314</v>
      </c>
      <c r="D45" t="s">
        <v>3323</v>
      </c>
      <c r="E45" t="s">
        <v>3324</v>
      </c>
      <c r="F45" t="s">
        <v>3248</v>
      </c>
      <c r="G45" t="s">
        <v>1848</v>
      </c>
    </row>
    <row r="46" spans="1:7" ht="11.25" customHeight="1">
      <c r="A46" s="307" t="s">
        <v>3</v>
      </c>
      <c r="B46" t="s">
        <v>121</v>
      </c>
      <c r="C46" t="s">
        <v>122</v>
      </c>
      <c r="D46" t="s">
        <v>121</v>
      </c>
      <c r="E46" t="s">
        <v>122</v>
      </c>
      <c r="F46" t="s">
        <v>3239</v>
      </c>
      <c r="G46" t="s">
        <v>120</v>
      </c>
    </row>
    <row r="47" spans="1:7" ht="11.25" customHeight="1">
      <c r="A47" s="307" t="s">
        <v>3</v>
      </c>
      <c r="B47" t="s">
        <v>3325</v>
      </c>
      <c r="C47" t="s">
        <v>3326</v>
      </c>
      <c r="D47" t="s">
        <v>3327</v>
      </c>
      <c r="E47" t="s">
        <v>3328</v>
      </c>
      <c r="F47" t="s">
        <v>3248</v>
      </c>
      <c r="G47" t="s">
        <v>1857</v>
      </c>
    </row>
    <row r="48" spans="1:7" ht="11.25" customHeight="1">
      <c r="A48" s="307" t="s">
        <v>3</v>
      </c>
      <c r="B48" t="s">
        <v>3325</v>
      </c>
      <c r="C48" t="s">
        <v>3326</v>
      </c>
      <c r="D48" t="s">
        <v>3325</v>
      </c>
      <c r="E48" t="s">
        <v>3326</v>
      </c>
      <c r="F48" t="s">
        <v>3242</v>
      </c>
      <c r="G48" t="s">
        <v>1862</v>
      </c>
    </row>
    <row r="49" spans="1:7" ht="11.25" customHeight="1">
      <c r="A49" s="307" t="s">
        <v>3</v>
      </c>
      <c r="B49" t="s">
        <v>3325</v>
      </c>
      <c r="C49" t="s">
        <v>3326</v>
      </c>
      <c r="D49" t="s">
        <v>3329</v>
      </c>
      <c r="E49" t="s">
        <v>3330</v>
      </c>
      <c r="F49" t="s">
        <v>3245</v>
      </c>
      <c r="G49" t="s">
        <v>1865</v>
      </c>
    </row>
    <row r="50" spans="1:7" ht="11.25" customHeight="1">
      <c r="A50" s="307" t="s">
        <v>3</v>
      </c>
      <c r="B50" t="s">
        <v>3325</v>
      </c>
      <c r="C50" t="s">
        <v>3326</v>
      </c>
      <c r="D50" t="s">
        <v>3331</v>
      </c>
      <c r="E50" t="s">
        <v>3332</v>
      </c>
      <c r="F50" t="s">
        <v>3308</v>
      </c>
      <c r="G50" t="s">
        <v>1868</v>
      </c>
    </row>
    <row r="51" spans="1:7" ht="11.25" customHeight="1">
      <c r="A51" s="307" t="s">
        <v>3</v>
      </c>
      <c r="B51" t="s">
        <v>3325</v>
      </c>
      <c r="C51" t="s">
        <v>3326</v>
      </c>
      <c r="D51" t="s">
        <v>3333</v>
      </c>
      <c r="E51" t="s">
        <v>3334</v>
      </c>
      <c r="F51" t="s">
        <v>3248</v>
      </c>
      <c r="G51" t="s">
        <v>1873</v>
      </c>
    </row>
    <row r="52" spans="1:7" ht="11.25" customHeight="1">
      <c r="A52" s="307" t="s">
        <v>3</v>
      </c>
      <c r="B52" t="s">
        <v>3325</v>
      </c>
      <c r="C52" t="s">
        <v>3326</v>
      </c>
      <c r="D52" t="s">
        <v>3335</v>
      </c>
      <c r="E52" t="s">
        <v>3336</v>
      </c>
      <c r="F52" t="s">
        <v>3248</v>
      </c>
      <c r="G52" t="s">
        <v>1877</v>
      </c>
    </row>
    <row r="53" spans="1:7" ht="11.25" customHeight="1">
      <c r="A53" s="307" t="s">
        <v>3</v>
      </c>
      <c r="B53" t="s">
        <v>124</v>
      </c>
      <c r="C53" t="s">
        <v>125</v>
      </c>
      <c r="D53" t="s">
        <v>124</v>
      </c>
      <c r="E53" t="s">
        <v>125</v>
      </c>
      <c r="F53" t="s">
        <v>3239</v>
      </c>
      <c r="G53" t="s">
        <v>123</v>
      </c>
    </row>
    <row r="54" spans="1:7" ht="11.25" customHeight="1">
      <c r="A54" s="307" t="s">
        <v>3</v>
      </c>
      <c r="B54" t="s">
        <v>3337</v>
      </c>
      <c r="C54" t="s">
        <v>3338</v>
      </c>
      <c r="D54" t="s">
        <v>3339</v>
      </c>
      <c r="E54" t="s">
        <v>3340</v>
      </c>
      <c r="F54" t="s">
        <v>3248</v>
      </c>
      <c r="G54" t="s">
        <v>1881</v>
      </c>
    </row>
    <row r="55" spans="1:7" ht="11.25" customHeight="1">
      <c r="A55" s="307" t="s">
        <v>3</v>
      </c>
      <c r="B55" t="s">
        <v>3337</v>
      </c>
      <c r="C55" t="s">
        <v>3338</v>
      </c>
      <c r="D55" t="s">
        <v>3337</v>
      </c>
      <c r="E55" t="s">
        <v>3338</v>
      </c>
      <c r="F55" t="s">
        <v>3242</v>
      </c>
      <c r="G55" t="s">
        <v>1886</v>
      </c>
    </row>
    <row r="56" spans="1:7" ht="11.25" customHeight="1">
      <c r="A56" s="307" t="s">
        <v>3</v>
      </c>
      <c r="B56" t="s">
        <v>3337</v>
      </c>
      <c r="C56" t="s">
        <v>3338</v>
      </c>
      <c r="D56" t="s">
        <v>3341</v>
      </c>
      <c r="E56" t="s">
        <v>3342</v>
      </c>
      <c r="F56" t="s">
        <v>3245</v>
      </c>
      <c r="G56" t="s">
        <v>1889</v>
      </c>
    </row>
    <row r="57" spans="1:7" ht="11.25" customHeight="1">
      <c r="A57" s="307" t="s">
        <v>3</v>
      </c>
      <c r="B57" t="s">
        <v>3337</v>
      </c>
      <c r="C57" t="s">
        <v>3338</v>
      </c>
      <c r="D57" t="s">
        <v>3343</v>
      </c>
      <c r="E57" t="s">
        <v>3344</v>
      </c>
      <c r="F57" t="s">
        <v>3248</v>
      </c>
      <c r="G57" t="s">
        <v>1892</v>
      </c>
    </row>
    <row r="58" spans="1:7" ht="11.25" customHeight="1">
      <c r="A58" s="307" t="s">
        <v>3</v>
      </c>
      <c r="B58" t="s">
        <v>3337</v>
      </c>
      <c r="C58" t="s">
        <v>3338</v>
      </c>
      <c r="D58" t="s">
        <v>3345</v>
      </c>
      <c r="E58" t="s">
        <v>3346</v>
      </c>
      <c r="F58" t="s">
        <v>3248</v>
      </c>
      <c r="G58" t="s">
        <v>1895</v>
      </c>
    </row>
    <row r="59" spans="1:7" ht="11.25" customHeight="1">
      <c r="A59" s="307" t="s">
        <v>3</v>
      </c>
      <c r="B59" t="s">
        <v>109</v>
      </c>
      <c r="C59" t="s">
        <v>110</v>
      </c>
      <c r="D59" t="s">
        <v>109</v>
      </c>
      <c r="E59" t="s">
        <v>110</v>
      </c>
      <c r="F59" t="s">
        <v>3239</v>
      </c>
      <c r="G59" t="s">
        <v>108</v>
      </c>
    </row>
    <row r="60" spans="1:7" ht="11.25" customHeight="1">
      <c r="A60" s="307" t="s">
        <v>3</v>
      </c>
      <c r="B60" t="s">
        <v>3347</v>
      </c>
      <c r="C60" t="s">
        <v>3348</v>
      </c>
      <c r="D60" t="s">
        <v>3349</v>
      </c>
      <c r="E60" t="s">
        <v>3350</v>
      </c>
      <c r="F60" t="s">
        <v>3248</v>
      </c>
      <c r="G60" t="s">
        <v>1902</v>
      </c>
    </row>
    <row r="61" spans="1:7" ht="11.25" customHeight="1">
      <c r="A61" s="307" t="s">
        <v>3</v>
      </c>
      <c r="B61" t="s">
        <v>3347</v>
      </c>
      <c r="C61" t="s">
        <v>3348</v>
      </c>
      <c r="D61" t="s">
        <v>3347</v>
      </c>
      <c r="E61" t="s">
        <v>3348</v>
      </c>
      <c r="F61" t="s">
        <v>3242</v>
      </c>
      <c r="G61" t="s">
        <v>3351</v>
      </c>
    </row>
    <row r="62" spans="1:7" ht="11.25" customHeight="1">
      <c r="A62" s="307" t="s">
        <v>3</v>
      </c>
      <c r="B62" t="s">
        <v>3347</v>
      </c>
      <c r="C62" t="s">
        <v>3348</v>
      </c>
      <c r="D62" t="s">
        <v>3352</v>
      </c>
      <c r="E62" t="s">
        <v>3353</v>
      </c>
      <c r="F62" t="s">
        <v>3248</v>
      </c>
      <c r="G62" t="s">
        <v>3354</v>
      </c>
    </row>
    <row r="63" spans="1:7" ht="11.25" customHeight="1">
      <c r="A63" s="307" t="s">
        <v>3</v>
      </c>
      <c r="B63" t="s">
        <v>3347</v>
      </c>
      <c r="C63" t="s">
        <v>3348</v>
      </c>
      <c r="D63" t="s">
        <v>3355</v>
      </c>
      <c r="E63" t="s">
        <v>3356</v>
      </c>
      <c r="F63" t="s">
        <v>3248</v>
      </c>
      <c r="G63" t="s">
        <v>3357</v>
      </c>
    </row>
    <row r="64" spans="1:7" ht="11.25" customHeight="1">
      <c r="A64" s="307" t="s">
        <v>3</v>
      </c>
      <c r="B64" t="s">
        <v>3347</v>
      </c>
      <c r="C64" t="s">
        <v>3348</v>
      </c>
      <c r="D64" t="s">
        <v>3358</v>
      </c>
      <c r="E64" t="s">
        <v>3359</v>
      </c>
      <c r="F64" t="s">
        <v>3248</v>
      </c>
      <c r="G64" t="s">
        <v>3360</v>
      </c>
    </row>
    <row r="65" spans="1:7" ht="11.25" customHeight="1">
      <c r="A65" s="307" t="s">
        <v>3</v>
      </c>
      <c r="B65" t="s">
        <v>3361</v>
      </c>
      <c r="C65" t="s">
        <v>3362</v>
      </c>
      <c r="D65" t="s">
        <v>3361</v>
      </c>
      <c r="E65" t="s">
        <v>3362</v>
      </c>
      <c r="F65" t="s">
        <v>3239</v>
      </c>
      <c r="G65" t="s">
        <v>3363</v>
      </c>
    </row>
    <row r="66" spans="1:7" ht="11.25" customHeight="1">
      <c r="A66" s="307" t="s">
        <v>3</v>
      </c>
      <c r="B66" t="s">
        <v>3364</v>
      </c>
      <c r="C66" t="s">
        <v>3365</v>
      </c>
      <c r="D66" t="s">
        <v>3366</v>
      </c>
      <c r="E66" t="s">
        <v>3367</v>
      </c>
      <c r="F66" t="s">
        <v>3248</v>
      </c>
      <c r="G66" t="s">
        <v>3368</v>
      </c>
    </row>
    <row r="67" spans="1:7" ht="11.25" customHeight="1">
      <c r="A67" s="307" t="s">
        <v>3</v>
      </c>
      <c r="B67" t="s">
        <v>3364</v>
      </c>
      <c r="C67" t="s">
        <v>3365</v>
      </c>
      <c r="D67" t="s">
        <v>3364</v>
      </c>
      <c r="E67" t="s">
        <v>3365</v>
      </c>
      <c r="F67" t="s">
        <v>3242</v>
      </c>
      <c r="G67" t="s">
        <v>2218</v>
      </c>
    </row>
    <row r="68" spans="1:7" ht="11.25" customHeight="1">
      <c r="A68" s="307" t="s">
        <v>3</v>
      </c>
      <c r="B68" t="s">
        <v>3364</v>
      </c>
      <c r="C68" t="s">
        <v>3365</v>
      </c>
      <c r="D68" t="s">
        <v>3369</v>
      </c>
      <c r="E68" t="s">
        <v>3370</v>
      </c>
      <c r="F68" t="s">
        <v>3308</v>
      </c>
      <c r="G68" t="s">
        <v>3371</v>
      </c>
    </row>
    <row r="69" spans="1:7" ht="11.25" customHeight="1">
      <c r="A69" s="307" t="s">
        <v>3</v>
      </c>
      <c r="B69" t="s">
        <v>3364</v>
      </c>
      <c r="C69" t="s">
        <v>3365</v>
      </c>
      <c r="D69" t="s">
        <v>3372</v>
      </c>
      <c r="E69" t="s">
        <v>3373</v>
      </c>
      <c r="F69" t="s">
        <v>3248</v>
      </c>
      <c r="G69" t="s">
        <v>2421</v>
      </c>
    </row>
    <row r="70" spans="1:7" ht="11.25" customHeight="1">
      <c r="A70" s="307" t="s">
        <v>3</v>
      </c>
      <c r="B70" t="s">
        <v>3364</v>
      </c>
      <c r="C70" t="s">
        <v>3365</v>
      </c>
      <c r="D70" t="s">
        <v>3374</v>
      </c>
      <c r="E70" t="s">
        <v>3375</v>
      </c>
      <c r="F70" t="s">
        <v>3248</v>
      </c>
      <c r="G70" t="s">
        <v>3376</v>
      </c>
    </row>
    <row r="71" spans="1:7" ht="11.25" customHeight="1">
      <c r="A71" s="307" t="s">
        <v>3</v>
      </c>
      <c r="B71" t="s">
        <v>144</v>
      </c>
      <c r="C71" t="s">
        <v>145</v>
      </c>
      <c r="D71" t="s">
        <v>144</v>
      </c>
      <c r="E71" t="s">
        <v>145</v>
      </c>
      <c r="F71" t="s">
        <v>3239</v>
      </c>
      <c r="G71" t="s">
        <v>143</v>
      </c>
    </row>
    <row r="72" spans="1:7" ht="11.25" customHeight="1">
      <c r="A72" s="307" t="s">
        <v>3</v>
      </c>
      <c r="B72" t="s">
        <v>3377</v>
      </c>
      <c r="C72" t="s">
        <v>3378</v>
      </c>
      <c r="D72" t="s">
        <v>3379</v>
      </c>
      <c r="E72" t="s">
        <v>3380</v>
      </c>
      <c r="F72" t="s">
        <v>3248</v>
      </c>
      <c r="G72" t="s">
        <v>3381</v>
      </c>
    </row>
    <row r="73" spans="1:7" ht="11.25" customHeight="1">
      <c r="A73" s="307" t="s">
        <v>3</v>
      </c>
      <c r="B73" t="s">
        <v>3377</v>
      </c>
      <c r="C73" t="s">
        <v>3378</v>
      </c>
      <c r="D73" t="s">
        <v>3377</v>
      </c>
      <c r="E73" t="s">
        <v>3378</v>
      </c>
      <c r="F73" t="s">
        <v>3242</v>
      </c>
      <c r="G73" t="s">
        <v>3382</v>
      </c>
    </row>
    <row r="74" spans="1:7" ht="11.25" customHeight="1">
      <c r="A74" s="307" t="s">
        <v>3</v>
      </c>
      <c r="B74" t="s">
        <v>3377</v>
      </c>
      <c r="C74" t="s">
        <v>3378</v>
      </c>
      <c r="D74" t="s">
        <v>3383</v>
      </c>
      <c r="E74" t="s">
        <v>3384</v>
      </c>
      <c r="F74" t="s">
        <v>3308</v>
      </c>
      <c r="G74" t="s">
        <v>3385</v>
      </c>
    </row>
    <row r="75" spans="1:7" ht="11.25" customHeight="1">
      <c r="A75" s="307" t="s">
        <v>3</v>
      </c>
      <c r="B75" t="s">
        <v>3377</v>
      </c>
      <c r="C75" t="s">
        <v>3378</v>
      </c>
      <c r="D75" t="s">
        <v>3386</v>
      </c>
      <c r="E75" t="s">
        <v>3387</v>
      </c>
      <c r="F75" t="s">
        <v>3248</v>
      </c>
      <c r="G75" t="s">
        <v>3388</v>
      </c>
    </row>
    <row r="76" spans="1:7" ht="11.25" customHeight="1">
      <c r="A76" s="307" t="s">
        <v>3</v>
      </c>
      <c r="B76" t="s">
        <v>3377</v>
      </c>
      <c r="C76" t="s">
        <v>3378</v>
      </c>
      <c r="D76" t="s">
        <v>3389</v>
      </c>
      <c r="E76" t="s">
        <v>3390</v>
      </c>
      <c r="F76" t="s">
        <v>3248</v>
      </c>
      <c r="G76" t="s">
        <v>3391</v>
      </c>
    </row>
    <row r="77" spans="1:7" ht="11.25" customHeight="1">
      <c r="A77" s="307" t="s">
        <v>3</v>
      </c>
      <c r="B77" t="s">
        <v>3392</v>
      </c>
      <c r="C77" t="s">
        <v>3393</v>
      </c>
      <c r="D77" t="s">
        <v>3392</v>
      </c>
      <c r="E77" t="s">
        <v>3393</v>
      </c>
      <c r="F77" t="s">
        <v>3239</v>
      </c>
      <c r="G77" t="s">
        <v>3394</v>
      </c>
    </row>
    <row r="78" spans="1:7" ht="11.25" customHeight="1">
      <c r="A78" s="307" t="s">
        <v>3</v>
      </c>
      <c r="B78" t="s">
        <v>3395</v>
      </c>
      <c r="C78" t="s">
        <v>3396</v>
      </c>
      <c r="D78" t="s">
        <v>3397</v>
      </c>
      <c r="E78" t="s">
        <v>3398</v>
      </c>
      <c r="F78" t="s">
        <v>3248</v>
      </c>
      <c r="G78" t="s">
        <v>3399</v>
      </c>
    </row>
    <row r="79" spans="1:7" ht="11.25" customHeight="1">
      <c r="A79" s="307" t="s">
        <v>3</v>
      </c>
      <c r="B79" t="s">
        <v>3395</v>
      </c>
      <c r="C79" t="s">
        <v>3396</v>
      </c>
      <c r="D79" t="s">
        <v>3400</v>
      </c>
      <c r="E79" t="s">
        <v>3401</v>
      </c>
      <c r="F79" t="s">
        <v>3248</v>
      </c>
      <c r="G79" t="s">
        <v>3402</v>
      </c>
    </row>
    <row r="80" spans="1:7" ht="11.25" customHeight="1">
      <c r="A80" s="307" t="s">
        <v>3</v>
      </c>
      <c r="B80" t="s">
        <v>3395</v>
      </c>
      <c r="C80" t="s">
        <v>3396</v>
      </c>
      <c r="D80" t="s">
        <v>3403</v>
      </c>
      <c r="E80" t="s">
        <v>3404</v>
      </c>
      <c r="F80" t="s">
        <v>3248</v>
      </c>
      <c r="G80" t="s">
        <v>3405</v>
      </c>
    </row>
    <row r="81" spans="1:7" ht="11.25" customHeight="1">
      <c r="A81" s="307" t="s">
        <v>3</v>
      </c>
      <c r="B81" t="s">
        <v>3395</v>
      </c>
      <c r="C81" t="s">
        <v>3396</v>
      </c>
      <c r="D81" t="s">
        <v>3406</v>
      </c>
      <c r="E81" t="s">
        <v>3407</v>
      </c>
      <c r="F81" t="s">
        <v>3308</v>
      </c>
      <c r="G81" t="s">
        <v>3408</v>
      </c>
    </row>
    <row r="82" spans="1:7" ht="11.25" customHeight="1">
      <c r="A82" s="307" t="s">
        <v>3</v>
      </c>
      <c r="B82" t="s">
        <v>3395</v>
      </c>
      <c r="C82" t="s">
        <v>3396</v>
      </c>
      <c r="D82" t="s">
        <v>3395</v>
      </c>
      <c r="E82" t="s">
        <v>3396</v>
      </c>
      <c r="F82" t="s">
        <v>3242</v>
      </c>
      <c r="G82" t="s">
        <v>3409</v>
      </c>
    </row>
    <row r="83" spans="1:7" ht="11.25" customHeight="1">
      <c r="A83" s="307" t="s">
        <v>3</v>
      </c>
      <c r="B83" t="s">
        <v>3395</v>
      </c>
      <c r="C83" t="s">
        <v>3396</v>
      </c>
      <c r="D83" t="s">
        <v>3410</v>
      </c>
      <c r="E83" t="s">
        <v>3411</v>
      </c>
      <c r="F83" t="s">
        <v>3248</v>
      </c>
      <c r="G83" t="s">
        <v>3412</v>
      </c>
    </row>
    <row r="84" spans="1:7" ht="11.25" customHeight="1">
      <c r="A84" s="307" t="s">
        <v>3</v>
      </c>
      <c r="B84" t="s">
        <v>3395</v>
      </c>
      <c r="C84" t="s">
        <v>3396</v>
      </c>
      <c r="D84" t="s">
        <v>3413</v>
      </c>
      <c r="E84" t="s">
        <v>3414</v>
      </c>
      <c r="F84" t="s">
        <v>3248</v>
      </c>
      <c r="G84" t="s">
        <v>3415</v>
      </c>
    </row>
    <row r="85" spans="1:7" ht="11.25" customHeight="1">
      <c r="A85" s="307" t="s">
        <v>3</v>
      </c>
      <c r="B85" t="s">
        <v>3395</v>
      </c>
      <c r="C85" t="s">
        <v>3396</v>
      </c>
      <c r="D85" t="s">
        <v>3416</v>
      </c>
      <c r="E85" t="s">
        <v>3417</v>
      </c>
      <c r="F85" t="s">
        <v>3248</v>
      </c>
      <c r="G85" t="s">
        <v>3418</v>
      </c>
    </row>
    <row r="86" spans="1:7" ht="11.25" customHeight="1">
      <c r="A86" s="307" t="s">
        <v>3</v>
      </c>
      <c r="B86" t="s">
        <v>96</v>
      </c>
      <c r="C86" t="s">
        <v>97</v>
      </c>
      <c r="D86" t="s">
        <v>96</v>
      </c>
      <c r="E86" t="s">
        <v>97</v>
      </c>
      <c r="F86" t="s">
        <v>3239</v>
      </c>
      <c r="G86" t="s">
        <v>95</v>
      </c>
    </row>
    <row r="87" spans="1:7" ht="11.25" customHeight="1">
      <c r="A87" s="307" t="s">
        <v>3</v>
      </c>
      <c r="B87" t="s">
        <v>3419</v>
      </c>
      <c r="C87" t="s">
        <v>3420</v>
      </c>
      <c r="D87" t="s">
        <v>3421</v>
      </c>
      <c r="E87" t="s">
        <v>3422</v>
      </c>
      <c r="F87" t="s">
        <v>3248</v>
      </c>
      <c r="G87" t="s">
        <v>3423</v>
      </c>
    </row>
    <row r="88" spans="1:7" ht="11.25" customHeight="1">
      <c r="A88" s="307" t="s">
        <v>3</v>
      </c>
      <c r="B88" t="s">
        <v>3419</v>
      </c>
      <c r="C88" t="s">
        <v>3420</v>
      </c>
      <c r="D88" t="s">
        <v>3424</v>
      </c>
      <c r="E88" t="s">
        <v>3425</v>
      </c>
      <c r="F88" t="s">
        <v>3248</v>
      </c>
      <c r="G88" t="s">
        <v>3426</v>
      </c>
    </row>
    <row r="89" spans="1:7" ht="11.25" customHeight="1">
      <c r="A89" s="307" t="s">
        <v>3</v>
      </c>
      <c r="B89" t="s">
        <v>3419</v>
      </c>
      <c r="C89" t="s">
        <v>3420</v>
      </c>
      <c r="D89" t="s">
        <v>3427</v>
      </c>
      <c r="E89" t="s">
        <v>3428</v>
      </c>
      <c r="F89" t="s">
        <v>3248</v>
      </c>
      <c r="G89" t="s">
        <v>3429</v>
      </c>
    </row>
    <row r="90" spans="1:7" ht="11.25" customHeight="1">
      <c r="A90" s="307" t="s">
        <v>3</v>
      </c>
      <c r="B90" t="s">
        <v>3419</v>
      </c>
      <c r="C90" t="s">
        <v>3420</v>
      </c>
      <c r="D90" t="s">
        <v>3419</v>
      </c>
      <c r="E90" t="s">
        <v>3420</v>
      </c>
      <c r="F90" t="s">
        <v>3242</v>
      </c>
      <c r="G90" t="s">
        <v>3430</v>
      </c>
    </row>
    <row r="91" spans="1:7" ht="11.25" customHeight="1">
      <c r="A91" s="307" t="s">
        <v>3</v>
      </c>
      <c r="B91" t="s">
        <v>3419</v>
      </c>
      <c r="C91" t="s">
        <v>3420</v>
      </c>
      <c r="D91" t="s">
        <v>3431</v>
      </c>
      <c r="E91" t="s">
        <v>3432</v>
      </c>
      <c r="F91" t="s">
        <v>3248</v>
      </c>
      <c r="G91" t="s">
        <v>3433</v>
      </c>
    </row>
    <row r="92" spans="1:7" ht="11.25" customHeight="1">
      <c r="A92" s="307" t="s">
        <v>3</v>
      </c>
      <c r="B92" t="s">
        <v>3419</v>
      </c>
      <c r="C92" t="s">
        <v>3420</v>
      </c>
      <c r="D92" t="s">
        <v>3434</v>
      </c>
      <c r="E92" t="s">
        <v>3435</v>
      </c>
      <c r="F92" t="s">
        <v>3248</v>
      </c>
      <c r="G92" t="s">
        <v>3436</v>
      </c>
    </row>
    <row r="93" spans="1:7" ht="11.25" customHeight="1">
      <c r="A93" s="307" t="s">
        <v>3</v>
      </c>
      <c r="B93" t="s">
        <v>106</v>
      </c>
      <c r="C93" t="s">
        <v>107</v>
      </c>
      <c r="D93" t="s">
        <v>106</v>
      </c>
      <c r="E93" t="s">
        <v>107</v>
      </c>
      <c r="F93" t="s">
        <v>3239</v>
      </c>
      <c r="G93" t="s">
        <v>105</v>
      </c>
    </row>
    <row r="94" spans="1:7" ht="11.25" customHeight="1">
      <c r="A94" s="307" t="s">
        <v>3</v>
      </c>
      <c r="B94" t="s">
        <v>3437</v>
      </c>
      <c r="C94" t="s">
        <v>3438</v>
      </c>
      <c r="D94" t="s">
        <v>3439</v>
      </c>
      <c r="E94" t="s">
        <v>3440</v>
      </c>
      <c r="F94" t="s">
        <v>3248</v>
      </c>
      <c r="G94" t="s">
        <v>3441</v>
      </c>
    </row>
    <row r="95" spans="1:7" ht="11.25" customHeight="1">
      <c r="A95" s="307" t="s">
        <v>3</v>
      </c>
      <c r="B95" t="s">
        <v>3437</v>
      </c>
      <c r="C95" t="s">
        <v>3438</v>
      </c>
      <c r="D95" t="s">
        <v>3442</v>
      </c>
      <c r="E95" t="s">
        <v>3443</v>
      </c>
      <c r="F95" t="s">
        <v>3248</v>
      </c>
      <c r="G95" t="s">
        <v>3444</v>
      </c>
    </row>
    <row r="96" spans="1:7" ht="11.25" customHeight="1">
      <c r="A96" s="307" t="s">
        <v>3</v>
      </c>
      <c r="B96" t="s">
        <v>3437</v>
      </c>
      <c r="C96" t="s">
        <v>3438</v>
      </c>
      <c r="D96" t="s">
        <v>3437</v>
      </c>
      <c r="E96" t="s">
        <v>3438</v>
      </c>
      <c r="F96" t="s">
        <v>3242</v>
      </c>
      <c r="G96" t="s">
        <v>3445</v>
      </c>
    </row>
    <row r="97" spans="1:7" ht="11.25" customHeight="1">
      <c r="A97" s="307" t="s">
        <v>3</v>
      </c>
      <c r="B97" t="s">
        <v>3437</v>
      </c>
      <c r="C97" t="s">
        <v>3438</v>
      </c>
      <c r="D97" t="s">
        <v>3446</v>
      </c>
      <c r="E97" t="s">
        <v>3447</v>
      </c>
      <c r="F97" t="s">
        <v>3245</v>
      </c>
      <c r="G97" t="s">
        <v>3448</v>
      </c>
    </row>
    <row r="98" spans="1:7" ht="11.25" customHeight="1">
      <c r="A98" s="307" t="s">
        <v>3</v>
      </c>
      <c r="B98" t="s">
        <v>3437</v>
      </c>
      <c r="C98" t="s">
        <v>3438</v>
      </c>
      <c r="D98" t="s">
        <v>3449</v>
      </c>
      <c r="E98" t="s">
        <v>3450</v>
      </c>
      <c r="F98" t="s">
        <v>3248</v>
      </c>
      <c r="G98" t="s">
        <v>3451</v>
      </c>
    </row>
    <row r="99" spans="1:7" ht="11.25" customHeight="1">
      <c r="A99" s="307" t="s">
        <v>3</v>
      </c>
      <c r="B99" t="s">
        <v>3437</v>
      </c>
      <c r="C99" t="s">
        <v>3438</v>
      </c>
      <c r="D99" t="s">
        <v>3452</v>
      </c>
      <c r="E99" t="s">
        <v>3453</v>
      </c>
      <c r="F99" t="s">
        <v>3248</v>
      </c>
      <c r="G99" t="s">
        <v>3454</v>
      </c>
    </row>
    <row r="100" spans="1:7" ht="11.25" customHeight="1">
      <c r="A100" s="307" t="s">
        <v>3</v>
      </c>
      <c r="B100" t="s">
        <v>3437</v>
      </c>
      <c r="C100" t="s">
        <v>3438</v>
      </c>
      <c r="D100" t="s">
        <v>3455</v>
      </c>
      <c r="E100" t="s">
        <v>3456</v>
      </c>
      <c r="F100" t="s">
        <v>3248</v>
      </c>
      <c r="G100" t="s">
        <v>3457</v>
      </c>
    </row>
    <row r="101" spans="1:7" ht="11.25" customHeight="1">
      <c r="A101" s="307" t="s">
        <v>3</v>
      </c>
      <c r="B101" t="s">
        <v>103</v>
      </c>
      <c r="C101" t="s">
        <v>104</v>
      </c>
      <c r="D101" t="s">
        <v>103</v>
      </c>
      <c r="E101" t="s">
        <v>104</v>
      </c>
      <c r="F101" t="s">
        <v>3239</v>
      </c>
      <c r="G101" t="s">
        <v>102</v>
      </c>
    </row>
    <row r="102" spans="1:7" ht="11.25" customHeight="1">
      <c r="A102" s="307" t="s">
        <v>3</v>
      </c>
      <c r="B102" t="s">
        <v>3458</v>
      </c>
      <c r="C102" t="s">
        <v>3459</v>
      </c>
      <c r="D102" t="s">
        <v>3460</v>
      </c>
      <c r="E102" t="s">
        <v>3461</v>
      </c>
      <c r="F102" t="s">
        <v>3248</v>
      </c>
      <c r="G102" t="s">
        <v>3462</v>
      </c>
    </row>
    <row r="103" spans="1:7" ht="11.25" customHeight="1">
      <c r="A103" s="307" t="s">
        <v>3</v>
      </c>
      <c r="B103" t="s">
        <v>3458</v>
      </c>
      <c r="C103" t="s">
        <v>3459</v>
      </c>
      <c r="D103" t="s">
        <v>3463</v>
      </c>
      <c r="E103" t="s">
        <v>3464</v>
      </c>
      <c r="F103" t="s">
        <v>3248</v>
      </c>
      <c r="G103" t="s">
        <v>3465</v>
      </c>
    </row>
    <row r="104" spans="1:7" ht="11.25" customHeight="1">
      <c r="A104" s="307" t="s">
        <v>3</v>
      </c>
      <c r="B104" t="s">
        <v>3458</v>
      </c>
      <c r="C104" t="s">
        <v>3459</v>
      </c>
      <c r="D104" t="s">
        <v>3466</v>
      </c>
      <c r="E104" t="s">
        <v>3467</v>
      </c>
      <c r="F104" t="s">
        <v>3248</v>
      </c>
      <c r="G104" t="s">
        <v>3468</v>
      </c>
    </row>
    <row r="105" spans="1:7" ht="11.25" customHeight="1">
      <c r="A105" s="307" t="s">
        <v>3</v>
      </c>
      <c r="B105" t="s">
        <v>3458</v>
      </c>
      <c r="C105" t="s">
        <v>3459</v>
      </c>
      <c r="D105" t="s">
        <v>3469</v>
      </c>
      <c r="E105" t="s">
        <v>3470</v>
      </c>
      <c r="F105" t="s">
        <v>3248</v>
      </c>
      <c r="G105" t="s">
        <v>3471</v>
      </c>
    </row>
    <row r="106" spans="1:7" ht="11.25" customHeight="1">
      <c r="A106" s="307" t="s">
        <v>3</v>
      </c>
      <c r="B106" t="s">
        <v>3458</v>
      </c>
      <c r="C106" t="s">
        <v>3459</v>
      </c>
      <c r="D106" t="s">
        <v>3472</v>
      </c>
      <c r="E106" t="s">
        <v>3473</v>
      </c>
      <c r="F106" t="s">
        <v>3248</v>
      </c>
      <c r="G106" t="s">
        <v>3474</v>
      </c>
    </row>
    <row r="107" spans="1:7" ht="11.25" customHeight="1">
      <c r="A107" s="307" t="s">
        <v>3</v>
      </c>
      <c r="B107" t="s">
        <v>3458</v>
      </c>
      <c r="C107" t="s">
        <v>3459</v>
      </c>
      <c r="D107" t="s">
        <v>3475</v>
      </c>
      <c r="E107" t="s">
        <v>3476</v>
      </c>
      <c r="F107" t="s">
        <v>3248</v>
      </c>
      <c r="G107" t="s">
        <v>3477</v>
      </c>
    </row>
    <row r="108" spans="1:7" ht="11.25" customHeight="1">
      <c r="A108" s="307" t="s">
        <v>3</v>
      </c>
      <c r="B108" t="s">
        <v>3458</v>
      </c>
      <c r="C108" t="s">
        <v>3459</v>
      </c>
      <c r="D108" t="s">
        <v>3478</v>
      </c>
      <c r="E108" t="s">
        <v>3479</v>
      </c>
      <c r="F108" t="s">
        <v>3248</v>
      </c>
      <c r="G108" t="s">
        <v>3480</v>
      </c>
    </row>
    <row r="109" spans="1:7" ht="11.25" customHeight="1">
      <c r="A109" s="307" t="s">
        <v>3</v>
      </c>
      <c r="B109" t="s">
        <v>3458</v>
      </c>
      <c r="C109" t="s">
        <v>3459</v>
      </c>
      <c r="D109" t="s">
        <v>3481</v>
      </c>
      <c r="E109" t="s">
        <v>3482</v>
      </c>
      <c r="F109" t="s">
        <v>3248</v>
      </c>
      <c r="G109" t="s">
        <v>3483</v>
      </c>
    </row>
    <row r="110" spans="1:7" ht="11.25" customHeight="1">
      <c r="A110" s="307" t="s">
        <v>3</v>
      </c>
      <c r="B110" t="s">
        <v>3458</v>
      </c>
      <c r="C110" t="s">
        <v>3459</v>
      </c>
      <c r="D110" t="s">
        <v>3458</v>
      </c>
      <c r="E110" t="s">
        <v>3459</v>
      </c>
      <c r="F110" t="s">
        <v>3242</v>
      </c>
      <c r="G110" t="s">
        <v>3484</v>
      </c>
    </row>
    <row r="111" spans="1:7" ht="11.25" customHeight="1">
      <c r="A111" s="307" t="s">
        <v>3</v>
      </c>
      <c r="B111" t="s">
        <v>3458</v>
      </c>
      <c r="C111" t="s">
        <v>3459</v>
      </c>
      <c r="D111" t="s">
        <v>3485</v>
      </c>
      <c r="E111" t="s">
        <v>3486</v>
      </c>
      <c r="F111" t="s">
        <v>3245</v>
      </c>
      <c r="G111" t="s">
        <v>3487</v>
      </c>
    </row>
    <row r="112" spans="1:7" ht="11.25" customHeight="1">
      <c r="A112" s="307" t="s">
        <v>3</v>
      </c>
      <c r="B112" t="s">
        <v>3458</v>
      </c>
      <c r="C112" t="s">
        <v>3459</v>
      </c>
      <c r="D112" t="s">
        <v>3488</v>
      </c>
      <c r="E112" t="s">
        <v>3489</v>
      </c>
      <c r="F112" t="s">
        <v>3248</v>
      </c>
      <c r="G112" t="s">
        <v>3490</v>
      </c>
    </row>
    <row r="113" spans="1:7" ht="11.25" customHeight="1">
      <c r="A113" s="307" t="s">
        <v>3</v>
      </c>
      <c r="B113" t="s">
        <v>3491</v>
      </c>
      <c r="C113" t="s">
        <v>3492</v>
      </c>
      <c r="D113" t="s">
        <v>3491</v>
      </c>
      <c r="E113" t="s">
        <v>3492</v>
      </c>
      <c r="F113" t="s">
        <v>3239</v>
      </c>
      <c r="G113" t="s">
        <v>3493</v>
      </c>
    </row>
    <row r="114" spans="1:7" ht="11.25" customHeight="1">
      <c r="A114" s="307" t="s">
        <v>3</v>
      </c>
      <c r="B114" t="s">
        <v>3494</v>
      </c>
      <c r="C114" t="s">
        <v>3495</v>
      </c>
      <c r="D114" t="s">
        <v>3496</v>
      </c>
      <c r="E114" t="s">
        <v>3497</v>
      </c>
      <c r="F114" t="s">
        <v>3308</v>
      </c>
      <c r="G114" t="s">
        <v>3498</v>
      </c>
    </row>
    <row r="115" spans="1:7" ht="11.25" customHeight="1">
      <c r="A115" s="307" t="s">
        <v>3</v>
      </c>
      <c r="B115" t="s">
        <v>3494</v>
      </c>
      <c r="C115" t="s">
        <v>3495</v>
      </c>
      <c r="D115" t="s">
        <v>3499</v>
      </c>
      <c r="E115" t="s">
        <v>3500</v>
      </c>
      <c r="F115" t="s">
        <v>3248</v>
      </c>
      <c r="G115" t="s">
        <v>3501</v>
      </c>
    </row>
    <row r="116" spans="1:7" ht="11.25" customHeight="1">
      <c r="A116" s="307" t="s">
        <v>3</v>
      </c>
      <c r="B116" t="s">
        <v>3494</v>
      </c>
      <c r="C116" t="s">
        <v>3495</v>
      </c>
      <c r="D116" t="s">
        <v>3502</v>
      </c>
      <c r="E116" t="s">
        <v>3503</v>
      </c>
      <c r="F116" t="s">
        <v>3248</v>
      </c>
      <c r="G116" t="s">
        <v>3504</v>
      </c>
    </row>
    <row r="117" spans="1:7" ht="11.25" customHeight="1">
      <c r="A117" s="307" t="s">
        <v>3</v>
      </c>
      <c r="B117" t="s">
        <v>3494</v>
      </c>
      <c r="C117" t="s">
        <v>3495</v>
      </c>
      <c r="D117" t="s">
        <v>3505</v>
      </c>
      <c r="E117" t="s">
        <v>3506</v>
      </c>
      <c r="F117" t="s">
        <v>3248</v>
      </c>
      <c r="G117" t="s">
        <v>3507</v>
      </c>
    </row>
    <row r="118" spans="1:7" ht="11.25" customHeight="1">
      <c r="A118" s="307" t="s">
        <v>3</v>
      </c>
      <c r="B118" t="s">
        <v>3494</v>
      </c>
      <c r="C118" t="s">
        <v>3495</v>
      </c>
      <c r="D118" t="s">
        <v>3494</v>
      </c>
      <c r="E118" t="s">
        <v>3495</v>
      </c>
      <c r="F118" t="s">
        <v>3242</v>
      </c>
      <c r="G118" t="s">
        <v>3508</v>
      </c>
    </row>
    <row r="119" spans="1:7" ht="11.25" customHeight="1">
      <c r="A119" s="307" t="s">
        <v>3</v>
      </c>
      <c r="B119" t="s">
        <v>3494</v>
      </c>
      <c r="C119" t="s">
        <v>3495</v>
      </c>
      <c r="D119" t="s">
        <v>3509</v>
      </c>
      <c r="E119" t="s">
        <v>3510</v>
      </c>
      <c r="F119" t="s">
        <v>3245</v>
      </c>
      <c r="G119" t="s">
        <v>3511</v>
      </c>
    </row>
    <row r="120" spans="1:7" ht="11.25" customHeight="1">
      <c r="A120" s="307" t="s">
        <v>3</v>
      </c>
      <c r="B120" t="s">
        <v>3494</v>
      </c>
      <c r="C120" t="s">
        <v>3495</v>
      </c>
      <c r="D120" t="s">
        <v>3512</v>
      </c>
      <c r="E120" t="s">
        <v>3513</v>
      </c>
      <c r="F120" t="s">
        <v>3248</v>
      </c>
      <c r="G120" t="s">
        <v>3514</v>
      </c>
    </row>
    <row r="121" spans="1:7" ht="11.25" customHeight="1">
      <c r="A121" s="307" t="s">
        <v>3</v>
      </c>
      <c r="B121" t="s">
        <v>118</v>
      </c>
      <c r="C121" t="s">
        <v>119</v>
      </c>
      <c r="D121" t="s">
        <v>118</v>
      </c>
      <c r="E121" t="s">
        <v>119</v>
      </c>
      <c r="F121" t="s">
        <v>3239</v>
      </c>
      <c r="G121" t="s">
        <v>117</v>
      </c>
    </row>
    <row r="122" spans="1:7" ht="11.25" customHeight="1">
      <c r="A122" s="307" t="s">
        <v>3</v>
      </c>
      <c r="B122" t="s">
        <v>3515</v>
      </c>
      <c r="C122" t="s">
        <v>3516</v>
      </c>
      <c r="D122" t="s">
        <v>3517</v>
      </c>
      <c r="E122" t="s">
        <v>3518</v>
      </c>
      <c r="F122" t="s">
        <v>3248</v>
      </c>
      <c r="G122" t="s">
        <v>3519</v>
      </c>
    </row>
    <row r="123" spans="1:7" ht="11.25" customHeight="1">
      <c r="A123" s="307" t="s">
        <v>3</v>
      </c>
      <c r="B123" t="s">
        <v>3515</v>
      </c>
      <c r="C123" t="s">
        <v>3516</v>
      </c>
      <c r="D123" t="s">
        <v>3520</v>
      </c>
      <c r="E123" t="s">
        <v>3521</v>
      </c>
      <c r="F123" t="s">
        <v>3248</v>
      </c>
      <c r="G123" t="s">
        <v>3522</v>
      </c>
    </row>
    <row r="124" spans="1:7" ht="11.25" customHeight="1">
      <c r="A124" s="307" t="s">
        <v>3</v>
      </c>
      <c r="B124" t="s">
        <v>3515</v>
      </c>
      <c r="C124" t="s">
        <v>3516</v>
      </c>
      <c r="D124" t="s">
        <v>3523</v>
      </c>
      <c r="E124" t="s">
        <v>3524</v>
      </c>
      <c r="F124" t="s">
        <v>3248</v>
      </c>
      <c r="G124" t="s">
        <v>3525</v>
      </c>
    </row>
    <row r="125" spans="1:7" ht="11.25" customHeight="1">
      <c r="A125" s="307" t="s">
        <v>3</v>
      </c>
      <c r="B125" t="s">
        <v>3515</v>
      </c>
      <c r="C125" t="s">
        <v>3516</v>
      </c>
      <c r="D125" t="s">
        <v>3526</v>
      </c>
      <c r="E125" t="s">
        <v>3527</v>
      </c>
      <c r="F125" t="s">
        <v>3248</v>
      </c>
      <c r="G125" t="s">
        <v>3528</v>
      </c>
    </row>
    <row r="126" spans="1:7" ht="11.25" customHeight="1">
      <c r="A126" s="307" t="s">
        <v>3</v>
      </c>
      <c r="B126" t="s">
        <v>3515</v>
      </c>
      <c r="C126" t="s">
        <v>3516</v>
      </c>
      <c r="D126" t="s">
        <v>3529</v>
      </c>
      <c r="E126" t="s">
        <v>3530</v>
      </c>
      <c r="F126" t="s">
        <v>3248</v>
      </c>
      <c r="G126" t="s">
        <v>3531</v>
      </c>
    </row>
    <row r="127" spans="1:7" ht="11.25" customHeight="1">
      <c r="A127" s="307" t="s">
        <v>3</v>
      </c>
      <c r="B127" t="s">
        <v>3515</v>
      </c>
      <c r="C127" t="s">
        <v>3516</v>
      </c>
      <c r="D127" t="s">
        <v>3532</v>
      </c>
      <c r="E127" t="s">
        <v>3533</v>
      </c>
      <c r="F127" t="s">
        <v>3248</v>
      </c>
      <c r="G127" t="s">
        <v>3534</v>
      </c>
    </row>
    <row r="128" spans="1:7" ht="11.25" customHeight="1">
      <c r="A128" s="307" t="s">
        <v>3</v>
      </c>
      <c r="B128" t="s">
        <v>3515</v>
      </c>
      <c r="C128" t="s">
        <v>3516</v>
      </c>
      <c r="D128" t="s">
        <v>3535</v>
      </c>
      <c r="E128" t="s">
        <v>3536</v>
      </c>
      <c r="F128" t="s">
        <v>3248</v>
      </c>
      <c r="G128" t="s">
        <v>3537</v>
      </c>
    </row>
    <row r="129" spans="1:7" ht="11.25" customHeight="1">
      <c r="A129" s="307" t="s">
        <v>3</v>
      </c>
      <c r="B129" t="s">
        <v>3515</v>
      </c>
      <c r="C129" t="s">
        <v>3516</v>
      </c>
      <c r="D129" t="s">
        <v>3538</v>
      </c>
      <c r="E129" t="s">
        <v>3539</v>
      </c>
      <c r="F129" t="s">
        <v>3248</v>
      </c>
      <c r="G129" t="s">
        <v>3540</v>
      </c>
    </row>
    <row r="130" spans="1:7" ht="11.25" customHeight="1">
      <c r="A130" s="307" t="s">
        <v>3</v>
      </c>
      <c r="B130" t="s">
        <v>3515</v>
      </c>
      <c r="C130" t="s">
        <v>3516</v>
      </c>
      <c r="D130" t="s">
        <v>3541</v>
      </c>
      <c r="E130" t="s">
        <v>3542</v>
      </c>
      <c r="F130" t="s">
        <v>3248</v>
      </c>
      <c r="G130" t="s">
        <v>3543</v>
      </c>
    </row>
    <row r="131" spans="1:7" ht="11.25" customHeight="1">
      <c r="A131" s="307" t="s">
        <v>3</v>
      </c>
      <c r="B131" t="s">
        <v>3515</v>
      </c>
      <c r="C131" t="s">
        <v>3516</v>
      </c>
      <c r="D131" t="s">
        <v>3544</v>
      </c>
      <c r="E131" t="s">
        <v>3545</v>
      </c>
      <c r="F131" t="s">
        <v>3248</v>
      </c>
      <c r="G131" t="s">
        <v>3546</v>
      </c>
    </row>
    <row r="132" spans="1:7" ht="11.25" customHeight="1">
      <c r="A132" s="307" t="s">
        <v>3</v>
      </c>
      <c r="B132" t="s">
        <v>3515</v>
      </c>
      <c r="C132" t="s">
        <v>3516</v>
      </c>
      <c r="D132" t="s">
        <v>3547</v>
      </c>
      <c r="E132" t="s">
        <v>3548</v>
      </c>
      <c r="F132" t="s">
        <v>3248</v>
      </c>
      <c r="G132" t="s">
        <v>3549</v>
      </c>
    </row>
    <row r="133" spans="1:7" ht="11.25" customHeight="1">
      <c r="A133" s="307" t="s">
        <v>3</v>
      </c>
      <c r="B133" t="s">
        <v>3515</v>
      </c>
      <c r="C133" t="s">
        <v>3516</v>
      </c>
      <c r="D133" t="s">
        <v>3550</v>
      </c>
      <c r="E133" t="s">
        <v>3551</v>
      </c>
      <c r="F133" t="s">
        <v>3245</v>
      </c>
      <c r="G133" t="s">
        <v>3552</v>
      </c>
    </row>
    <row r="134" spans="1:7" ht="11.25" customHeight="1">
      <c r="A134" s="307" t="s">
        <v>3</v>
      </c>
      <c r="B134" t="s">
        <v>3515</v>
      </c>
      <c r="C134" t="s">
        <v>3516</v>
      </c>
      <c r="D134" t="s">
        <v>3515</v>
      </c>
      <c r="E134" t="s">
        <v>3516</v>
      </c>
      <c r="F134" t="s">
        <v>3242</v>
      </c>
      <c r="G134" t="s">
        <v>3553</v>
      </c>
    </row>
    <row r="135" spans="1:7" ht="11.25" customHeight="1">
      <c r="A135" s="307" t="s">
        <v>3</v>
      </c>
      <c r="B135" t="s">
        <v>3515</v>
      </c>
      <c r="C135" t="s">
        <v>3516</v>
      </c>
      <c r="D135" t="s">
        <v>3554</v>
      </c>
      <c r="E135" t="s">
        <v>3555</v>
      </c>
      <c r="F135" t="s">
        <v>3248</v>
      </c>
      <c r="G135" t="s">
        <v>3556</v>
      </c>
    </row>
    <row r="136" spans="1:7" ht="11.25" customHeight="1">
      <c r="A136" s="307" t="s">
        <v>3</v>
      </c>
      <c r="B136" t="s">
        <v>149</v>
      </c>
      <c r="C136" t="s">
        <v>150</v>
      </c>
      <c r="D136" t="s">
        <v>149</v>
      </c>
      <c r="E136" t="s">
        <v>150</v>
      </c>
      <c r="F136" t="s">
        <v>3239</v>
      </c>
      <c r="G136" t="s">
        <v>148</v>
      </c>
    </row>
    <row r="137" spans="1:7" ht="11.25" customHeight="1">
      <c r="A137" s="307" t="s">
        <v>3</v>
      </c>
      <c r="B137" t="s">
        <v>3557</v>
      </c>
      <c r="C137" t="s">
        <v>3558</v>
      </c>
      <c r="D137" t="s">
        <v>3559</v>
      </c>
      <c r="E137" t="s">
        <v>3560</v>
      </c>
      <c r="F137" t="s">
        <v>3248</v>
      </c>
      <c r="G137" t="s">
        <v>3561</v>
      </c>
    </row>
    <row r="138" spans="1:7" ht="11.25" customHeight="1">
      <c r="A138" s="307" t="s">
        <v>3</v>
      </c>
      <c r="B138" t="s">
        <v>3557</v>
      </c>
      <c r="C138" t="s">
        <v>3558</v>
      </c>
      <c r="D138" t="s">
        <v>3562</v>
      </c>
      <c r="E138" t="s">
        <v>3563</v>
      </c>
      <c r="F138" t="s">
        <v>3248</v>
      </c>
      <c r="G138" t="s">
        <v>3564</v>
      </c>
    </row>
    <row r="139" spans="1:7" ht="11.25" customHeight="1">
      <c r="A139" s="307" t="s">
        <v>3</v>
      </c>
      <c r="B139" t="s">
        <v>3557</v>
      </c>
      <c r="C139" t="s">
        <v>3558</v>
      </c>
      <c r="D139" t="s">
        <v>3565</v>
      </c>
      <c r="E139" t="s">
        <v>3566</v>
      </c>
      <c r="F139" t="s">
        <v>3248</v>
      </c>
      <c r="G139" t="s">
        <v>3567</v>
      </c>
    </row>
    <row r="140" spans="1:7" ht="11.25" customHeight="1">
      <c r="A140" s="307" t="s">
        <v>3</v>
      </c>
      <c r="B140" t="s">
        <v>3557</v>
      </c>
      <c r="C140" t="s">
        <v>3558</v>
      </c>
      <c r="D140" t="s">
        <v>3568</v>
      </c>
      <c r="E140" t="s">
        <v>3569</v>
      </c>
      <c r="F140" t="s">
        <v>3248</v>
      </c>
      <c r="G140" t="s">
        <v>3570</v>
      </c>
    </row>
    <row r="141" spans="1:7" ht="11.25" customHeight="1">
      <c r="A141" s="307" t="s">
        <v>3</v>
      </c>
      <c r="B141" t="s">
        <v>3557</v>
      </c>
      <c r="C141" t="s">
        <v>3558</v>
      </c>
      <c r="D141" t="s">
        <v>3571</v>
      </c>
      <c r="E141" t="s">
        <v>3572</v>
      </c>
      <c r="F141" t="s">
        <v>3248</v>
      </c>
      <c r="G141" t="s">
        <v>3573</v>
      </c>
    </row>
    <row r="142" spans="1:7" ht="11.25" customHeight="1">
      <c r="A142" s="307" t="s">
        <v>3</v>
      </c>
      <c r="B142" t="s">
        <v>3557</v>
      </c>
      <c r="C142" t="s">
        <v>3558</v>
      </c>
      <c r="D142" t="s">
        <v>3574</v>
      </c>
      <c r="E142" t="s">
        <v>3575</v>
      </c>
      <c r="F142" t="s">
        <v>3248</v>
      </c>
      <c r="G142" t="s">
        <v>3576</v>
      </c>
    </row>
    <row r="143" spans="1:7" ht="11.25" customHeight="1">
      <c r="A143" s="307" t="s">
        <v>3</v>
      </c>
      <c r="B143" t="s">
        <v>3557</v>
      </c>
      <c r="C143" t="s">
        <v>3558</v>
      </c>
      <c r="D143" t="s">
        <v>3577</v>
      </c>
      <c r="E143" t="s">
        <v>3578</v>
      </c>
      <c r="F143" t="s">
        <v>3248</v>
      </c>
      <c r="G143" t="s">
        <v>3579</v>
      </c>
    </row>
    <row r="144" spans="1:7" ht="11.25" customHeight="1">
      <c r="A144" s="307" t="s">
        <v>3</v>
      </c>
      <c r="B144" t="s">
        <v>3557</v>
      </c>
      <c r="C144" t="s">
        <v>3558</v>
      </c>
      <c r="D144" t="s">
        <v>3580</v>
      </c>
      <c r="E144" t="s">
        <v>3581</v>
      </c>
      <c r="F144" t="s">
        <v>3248</v>
      </c>
      <c r="G144" t="s">
        <v>3582</v>
      </c>
    </row>
    <row r="145" spans="1:7" ht="11.25" customHeight="1">
      <c r="A145" s="307" t="s">
        <v>3</v>
      </c>
      <c r="B145" t="s">
        <v>3557</v>
      </c>
      <c r="C145" t="s">
        <v>3558</v>
      </c>
      <c r="D145" t="s">
        <v>3583</v>
      </c>
      <c r="E145" t="s">
        <v>3584</v>
      </c>
      <c r="F145" t="s">
        <v>3248</v>
      </c>
      <c r="G145" t="s">
        <v>3585</v>
      </c>
    </row>
    <row r="146" spans="1:7" ht="11.25" customHeight="1">
      <c r="A146" s="307" t="s">
        <v>3</v>
      </c>
      <c r="B146" t="s">
        <v>3557</v>
      </c>
      <c r="C146" t="s">
        <v>3558</v>
      </c>
      <c r="D146" t="s">
        <v>3586</v>
      </c>
      <c r="E146" t="s">
        <v>3587</v>
      </c>
      <c r="F146" t="s">
        <v>3248</v>
      </c>
      <c r="G146" t="s">
        <v>3588</v>
      </c>
    </row>
    <row r="147" spans="1:7" ht="11.25" customHeight="1">
      <c r="A147" s="307" t="s">
        <v>3</v>
      </c>
      <c r="B147" t="s">
        <v>3557</v>
      </c>
      <c r="C147" t="s">
        <v>3558</v>
      </c>
      <c r="D147" t="s">
        <v>3589</v>
      </c>
      <c r="E147" t="s">
        <v>3590</v>
      </c>
      <c r="F147" t="s">
        <v>3248</v>
      </c>
      <c r="G147" t="s">
        <v>3591</v>
      </c>
    </row>
    <row r="148" spans="1:7" ht="11.25" customHeight="1">
      <c r="A148" s="307" t="s">
        <v>3</v>
      </c>
      <c r="B148" t="s">
        <v>3557</v>
      </c>
      <c r="C148" t="s">
        <v>3558</v>
      </c>
      <c r="D148" t="s">
        <v>3592</v>
      </c>
      <c r="E148" t="s">
        <v>3593</v>
      </c>
      <c r="F148" t="s">
        <v>3248</v>
      </c>
      <c r="G148" t="s">
        <v>3594</v>
      </c>
    </row>
    <row r="149" spans="1:7" ht="11.25" customHeight="1">
      <c r="A149" s="307" t="s">
        <v>3</v>
      </c>
      <c r="B149" t="s">
        <v>3557</v>
      </c>
      <c r="C149" t="s">
        <v>3558</v>
      </c>
      <c r="D149" t="s">
        <v>3595</v>
      </c>
      <c r="E149" t="s">
        <v>3596</v>
      </c>
      <c r="F149" t="s">
        <v>3248</v>
      </c>
      <c r="G149" t="s">
        <v>3597</v>
      </c>
    </row>
    <row r="150" spans="1:7" ht="11.25" customHeight="1">
      <c r="A150" s="307" t="s">
        <v>3</v>
      </c>
      <c r="B150" t="s">
        <v>3557</v>
      </c>
      <c r="C150" t="s">
        <v>3558</v>
      </c>
      <c r="D150" t="s">
        <v>3598</v>
      </c>
      <c r="E150" t="s">
        <v>3599</v>
      </c>
      <c r="F150" t="s">
        <v>3248</v>
      </c>
      <c r="G150" t="s">
        <v>3600</v>
      </c>
    </row>
    <row r="151" spans="1:7" ht="11.25" customHeight="1">
      <c r="A151" s="307" t="s">
        <v>3</v>
      </c>
      <c r="B151" t="s">
        <v>3557</v>
      </c>
      <c r="C151" t="s">
        <v>3558</v>
      </c>
      <c r="D151" t="s">
        <v>3601</v>
      </c>
      <c r="E151" t="s">
        <v>3602</v>
      </c>
      <c r="F151" t="s">
        <v>3248</v>
      </c>
      <c r="G151" t="s">
        <v>3603</v>
      </c>
    </row>
    <row r="152" spans="1:7" ht="11.25" customHeight="1">
      <c r="A152" s="307" t="s">
        <v>3</v>
      </c>
      <c r="B152" t="s">
        <v>3557</v>
      </c>
      <c r="C152" t="s">
        <v>3558</v>
      </c>
      <c r="D152" t="s">
        <v>3604</v>
      </c>
      <c r="E152" t="s">
        <v>3605</v>
      </c>
      <c r="F152" t="s">
        <v>3248</v>
      </c>
      <c r="G152" t="s">
        <v>3606</v>
      </c>
    </row>
    <row r="153" spans="1:7" ht="11.25" customHeight="1">
      <c r="A153" s="307" t="s">
        <v>3</v>
      </c>
      <c r="B153" t="s">
        <v>3557</v>
      </c>
      <c r="C153" t="s">
        <v>3558</v>
      </c>
      <c r="D153" t="s">
        <v>3557</v>
      </c>
      <c r="E153" t="s">
        <v>3558</v>
      </c>
      <c r="F153" t="s">
        <v>3242</v>
      </c>
      <c r="G153" t="s">
        <v>3607</v>
      </c>
    </row>
    <row r="154" spans="1:7" ht="11.25" customHeight="1">
      <c r="A154" s="307" t="s">
        <v>3</v>
      </c>
      <c r="B154" t="s">
        <v>3557</v>
      </c>
      <c r="C154" t="s">
        <v>3558</v>
      </c>
      <c r="D154" t="s">
        <v>3608</v>
      </c>
      <c r="E154" t="s">
        <v>3609</v>
      </c>
      <c r="F154" t="s">
        <v>3248</v>
      </c>
      <c r="G154" t="s">
        <v>3610</v>
      </c>
    </row>
    <row r="155" spans="1:7" ht="11.25" customHeight="1">
      <c r="A155" s="307" t="s">
        <v>3</v>
      </c>
      <c r="B155" t="s">
        <v>3557</v>
      </c>
      <c r="C155" t="s">
        <v>3558</v>
      </c>
      <c r="D155" t="s">
        <v>3611</v>
      </c>
      <c r="E155" t="s">
        <v>3612</v>
      </c>
      <c r="F155" t="s">
        <v>3248</v>
      </c>
      <c r="G155" t="s">
        <v>3613</v>
      </c>
    </row>
    <row r="156" spans="1:7" ht="11.25" customHeight="1">
      <c r="A156" s="307" t="s">
        <v>3</v>
      </c>
      <c r="B156" t="s">
        <v>3557</v>
      </c>
      <c r="C156" t="s">
        <v>3558</v>
      </c>
      <c r="D156" t="s">
        <v>3614</v>
      </c>
      <c r="E156" t="s">
        <v>3615</v>
      </c>
      <c r="F156" t="s">
        <v>3248</v>
      </c>
      <c r="G156" t="s">
        <v>3616</v>
      </c>
    </row>
    <row r="157" spans="1:7" ht="11.25" customHeight="1">
      <c r="A157" s="307" t="s">
        <v>3</v>
      </c>
      <c r="B157" t="s">
        <v>99</v>
      </c>
      <c r="C157" t="s">
        <v>100</v>
      </c>
      <c r="D157" t="s">
        <v>99</v>
      </c>
      <c r="E157" t="s">
        <v>100</v>
      </c>
      <c r="F157" t="s">
        <v>3239</v>
      </c>
      <c r="G157" t="s">
        <v>98</v>
      </c>
    </row>
    <row r="158" spans="1:7" ht="11.25" customHeight="1">
      <c r="A158" s="307" t="s">
        <v>3</v>
      </c>
      <c r="B158" t="s">
        <v>3617</v>
      </c>
      <c r="C158" t="s">
        <v>3618</v>
      </c>
      <c r="D158" t="s">
        <v>3619</v>
      </c>
      <c r="E158" t="s">
        <v>3620</v>
      </c>
      <c r="F158" t="s">
        <v>3248</v>
      </c>
      <c r="G158" t="s">
        <v>3621</v>
      </c>
    </row>
    <row r="159" spans="1:7" ht="11.25" customHeight="1">
      <c r="A159" s="307" t="s">
        <v>3</v>
      </c>
      <c r="B159" t="s">
        <v>3617</v>
      </c>
      <c r="C159" t="s">
        <v>3618</v>
      </c>
      <c r="D159" t="s">
        <v>3622</v>
      </c>
      <c r="E159" t="s">
        <v>3623</v>
      </c>
      <c r="F159" t="s">
        <v>3248</v>
      </c>
      <c r="G159" t="s">
        <v>3624</v>
      </c>
    </row>
    <row r="160" spans="1:7" ht="11.25" customHeight="1">
      <c r="A160" s="307" t="s">
        <v>3</v>
      </c>
      <c r="B160" t="s">
        <v>3617</v>
      </c>
      <c r="C160" t="s">
        <v>3618</v>
      </c>
      <c r="D160" t="s">
        <v>3625</v>
      </c>
      <c r="E160" t="s">
        <v>3626</v>
      </c>
      <c r="F160" t="s">
        <v>3248</v>
      </c>
      <c r="G160" t="s">
        <v>3627</v>
      </c>
    </row>
    <row r="161" spans="1:7" ht="11.25" customHeight="1">
      <c r="A161" s="307" t="s">
        <v>3</v>
      </c>
      <c r="B161" t="s">
        <v>3617</v>
      </c>
      <c r="C161" t="s">
        <v>3618</v>
      </c>
      <c r="D161" t="s">
        <v>3279</v>
      </c>
      <c r="E161" t="s">
        <v>3628</v>
      </c>
      <c r="F161" t="s">
        <v>3248</v>
      </c>
      <c r="G161" t="s">
        <v>3629</v>
      </c>
    </row>
    <row r="162" spans="1:7" ht="11.25" customHeight="1">
      <c r="A162" s="307" t="s">
        <v>3</v>
      </c>
      <c r="B162" t="s">
        <v>3617</v>
      </c>
      <c r="C162" t="s">
        <v>3618</v>
      </c>
      <c r="D162" t="s">
        <v>3617</v>
      </c>
      <c r="E162" t="s">
        <v>3618</v>
      </c>
      <c r="F162" t="s">
        <v>3242</v>
      </c>
      <c r="G162" t="s">
        <v>3630</v>
      </c>
    </row>
    <row r="163" spans="1:7" ht="11.25" customHeight="1">
      <c r="A163" s="307" t="s">
        <v>3</v>
      </c>
      <c r="B163" t="s">
        <v>3617</v>
      </c>
      <c r="C163" t="s">
        <v>3618</v>
      </c>
      <c r="D163" t="s">
        <v>3631</v>
      </c>
      <c r="E163" t="s">
        <v>3632</v>
      </c>
      <c r="F163" t="s">
        <v>3245</v>
      </c>
      <c r="G163" t="s">
        <v>3633</v>
      </c>
    </row>
    <row r="164" spans="1:7" ht="11.25" customHeight="1">
      <c r="A164" s="307" t="s">
        <v>3</v>
      </c>
      <c r="B164" t="s">
        <v>3634</v>
      </c>
      <c r="C164" t="s">
        <v>3635</v>
      </c>
      <c r="D164" t="s">
        <v>3634</v>
      </c>
      <c r="E164" t="s">
        <v>3635</v>
      </c>
      <c r="F164" t="s">
        <v>3239</v>
      </c>
      <c r="G164" t="s">
        <v>3636</v>
      </c>
    </row>
    <row r="165" spans="1:7" ht="11.25" customHeight="1">
      <c r="A165" s="307" t="s">
        <v>3</v>
      </c>
      <c r="B165" t="s">
        <v>3637</v>
      </c>
      <c r="C165" t="s">
        <v>3638</v>
      </c>
      <c r="D165" t="s">
        <v>3639</v>
      </c>
      <c r="E165" t="s">
        <v>3640</v>
      </c>
      <c r="F165" t="s">
        <v>3248</v>
      </c>
      <c r="G165" t="s">
        <v>3641</v>
      </c>
    </row>
    <row r="166" spans="1:7" ht="11.25" customHeight="1">
      <c r="A166" s="307" t="s">
        <v>3</v>
      </c>
      <c r="B166" t="s">
        <v>3637</v>
      </c>
      <c r="C166" t="s">
        <v>3638</v>
      </c>
      <c r="D166" t="s">
        <v>3642</v>
      </c>
      <c r="E166" t="s">
        <v>3643</v>
      </c>
      <c r="F166" t="s">
        <v>3248</v>
      </c>
      <c r="G166" t="s">
        <v>3644</v>
      </c>
    </row>
    <row r="167" spans="1:7" ht="11.25" customHeight="1">
      <c r="A167" s="307" t="s">
        <v>3</v>
      </c>
      <c r="B167" t="s">
        <v>3637</v>
      </c>
      <c r="C167" t="s">
        <v>3638</v>
      </c>
      <c r="D167" t="s">
        <v>3645</v>
      </c>
      <c r="E167" t="s">
        <v>3646</v>
      </c>
      <c r="F167" t="s">
        <v>3248</v>
      </c>
      <c r="G167" t="s">
        <v>3647</v>
      </c>
    </row>
    <row r="168" spans="1:7" ht="11.25" customHeight="1">
      <c r="A168" s="307" t="s">
        <v>3</v>
      </c>
      <c r="B168" t="s">
        <v>3637</v>
      </c>
      <c r="C168" t="s">
        <v>3638</v>
      </c>
      <c r="D168" t="s">
        <v>3637</v>
      </c>
      <c r="E168" t="s">
        <v>3638</v>
      </c>
      <c r="F168" t="s">
        <v>3242</v>
      </c>
      <c r="G168" t="s">
        <v>3648</v>
      </c>
    </row>
    <row r="169" spans="1:7" ht="11.25" customHeight="1">
      <c r="A169" s="307" t="s">
        <v>3</v>
      </c>
      <c r="B169" t="s">
        <v>3637</v>
      </c>
      <c r="C169" t="s">
        <v>3638</v>
      </c>
      <c r="D169" t="s">
        <v>3649</v>
      </c>
      <c r="E169" t="s">
        <v>3650</v>
      </c>
      <c r="F169" t="s">
        <v>3248</v>
      </c>
      <c r="G169" t="s">
        <v>3651</v>
      </c>
    </row>
    <row r="170" spans="1:7" ht="11.25" customHeight="1">
      <c r="A170" s="307" t="s">
        <v>3</v>
      </c>
      <c r="B170" t="s">
        <v>3652</v>
      </c>
      <c r="C170" t="s">
        <v>3653</v>
      </c>
      <c r="D170" t="s">
        <v>3652</v>
      </c>
      <c r="E170" t="s">
        <v>3653</v>
      </c>
      <c r="F170" t="s">
        <v>3239</v>
      </c>
      <c r="G170" t="s">
        <v>3654</v>
      </c>
    </row>
    <row r="171" spans="1:7" ht="11.25" customHeight="1">
      <c r="A171" s="307" t="s">
        <v>3</v>
      </c>
      <c r="B171" t="s">
        <v>3655</v>
      </c>
      <c r="C171" t="s">
        <v>3656</v>
      </c>
      <c r="D171" t="s">
        <v>3657</v>
      </c>
      <c r="E171" t="s">
        <v>3658</v>
      </c>
      <c r="F171" t="s">
        <v>3248</v>
      </c>
      <c r="G171" t="s">
        <v>3659</v>
      </c>
    </row>
    <row r="172" spans="1:7" ht="11.25" customHeight="1">
      <c r="A172" s="307" t="s">
        <v>3</v>
      </c>
      <c r="B172" t="s">
        <v>3655</v>
      </c>
      <c r="C172" t="s">
        <v>3656</v>
      </c>
      <c r="D172" t="s">
        <v>3660</v>
      </c>
      <c r="E172" t="s">
        <v>3661</v>
      </c>
      <c r="F172" t="s">
        <v>3248</v>
      </c>
      <c r="G172" t="s">
        <v>3662</v>
      </c>
    </row>
    <row r="173" spans="1:7" ht="11.25" customHeight="1">
      <c r="A173" s="307" t="s">
        <v>3</v>
      </c>
      <c r="B173" t="s">
        <v>3655</v>
      </c>
      <c r="C173" t="s">
        <v>3656</v>
      </c>
      <c r="D173" t="s">
        <v>3655</v>
      </c>
      <c r="E173" t="s">
        <v>3656</v>
      </c>
      <c r="F173" t="s">
        <v>3242</v>
      </c>
      <c r="G173" t="s">
        <v>3663</v>
      </c>
    </row>
    <row r="174" spans="1:7" ht="11.25" customHeight="1">
      <c r="A174" s="307" t="s">
        <v>3</v>
      </c>
      <c r="B174" t="s">
        <v>3655</v>
      </c>
      <c r="C174" t="s">
        <v>3656</v>
      </c>
      <c r="D174" t="s">
        <v>3664</v>
      </c>
      <c r="E174" t="s">
        <v>3665</v>
      </c>
      <c r="F174" t="s">
        <v>3248</v>
      </c>
      <c r="G174" t="s">
        <v>3666</v>
      </c>
    </row>
    <row r="175" spans="1:7" ht="11.25" customHeight="1">
      <c r="A175" s="307" t="s">
        <v>3</v>
      </c>
      <c r="B175" t="s">
        <v>3667</v>
      </c>
      <c r="C175" t="s">
        <v>3668</v>
      </c>
      <c r="D175" t="s">
        <v>3667</v>
      </c>
      <c r="E175" t="s">
        <v>3668</v>
      </c>
      <c r="F175" t="s">
        <v>3239</v>
      </c>
      <c r="G175" t="s">
        <v>3669</v>
      </c>
    </row>
    <row r="176" spans="1:7" ht="11.25" customHeight="1">
      <c r="A176" s="307" t="s">
        <v>3</v>
      </c>
      <c r="B176" t="s">
        <v>3670</v>
      </c>
      <c r="C176" t="s">
        <v>3671</v>
      </c>
      <c r="D176" t="s">
        <v>3672</v>
      </c>
      <c r="E176" t="s">
        <v>3673</v>
      </c>
      <c r="F176" t="s">
        <v>3248</v>
      </c>
      <c r="G176" t="s">
        <v>3674</v>
      </c>
    </row>
    <row r="177" spans="1:7" ht="11.25" customHeight="1">
      <c r="A177" s="307" t="s">
        <v>3</v>
      </c>
      <c r="B177" t="s">
        <v>3670</v>
      </c>
      <c r="C177" t="s">
        <v>3671</v>
      </c>
      <c r="D177" t="s">
        <v>3675</v>
      </c>
      <c r="E177" t="s">
        <v>3676</v>
      </c>
      <c r="F177" t="s">
        <v>3248</v>
      </c>
      <c r="G177" t="s">
        <v>3677</v>
      </c>
    </row>
    <row r="178" spans="1:7" ht="11.25" customHeight="1">
      <c r="A178" s="307" t="s">
        <v>3</v>
      </c>
      <c r="B178" t="s">
        <v>3670</v>
      </c>
      <c r="C178" t="s">
        <v>3671</v>
      </c>
      <c r="D178" t="s">
        <v>3678</v>
      </c>
      <c r="E178" t="s">
        <v>3679</v>
      </c>
      <c r="F178" t="s">
        <v>3248</v>
      </c>
      <c r="G178" t="s">
        <v>3680</v>
      </c>
    </row>
    <row r="179" spans="1:7" ht="11.25" customHeight="1">
      <c r="A179" s="307" t="s">
        <v>3</v>
      </c>
      <c r="B179" t="s">
        <v>3670</v>
      </c>
      <c r="C179" t="s">
        <v>3671</v>
      </c>
      <c r="D179" t="s">
        <v>3681</v>
      </c>
      <c r="E179" t="s">
        <v>3682</v>
      </c>
      <c r="F179" t="s">
        <v>3248</v>
      </c>
      <c r="G179" t="s">
        <v>3683</v>
      </c>
    </row>
    <row r="180" spans="1:7" ht="11.25" customHeight="1">
      <c r="A180" s="307" t="s">
        <v>3</v>
      </c>
      <c r="B180" t="s">
        <v>3670</v>
      </c>
      <c r="C180" t="s">
        <v>3671</v>
      </c>
      <c r="D180" t="s">
        <v>3684</v>
      </c>
      <c r="E180" t="s">
        <v>3685</v>
      </c>
      <c r="F180" t="s">
        <v>3248</v>
      </c>
      <c r="G180" t="s">
        <v>3686</v>
      </c>
    </row>
    <row r="181" spans="1:7" ht="11.25" customHeight="1">
      <c r="A181" s="307" t="s">
        <v>3</v>
      </c>
      <c r="B181" t="s">
        <v>3670</v>
      </c>
      <c r="C181" t="s">
        <v>3671</v>
      </c>
      <c r="D181" t="s">
        <v>3670</v>
      </c>
      <c r="E181" t="s">
        <v>3671</v>
      </c>
      <c r="F181" t="s">
        <v>3242</v>
      </c>
      <c r="G181" t="s">
        <v>3687</v>
      </c>
    </row>
    <row r="182" spans="1:7" ht="11.25" customHeight="1">
      <c r="A182" s="307" t="s">
        <v>3</v>
      </c>
      <c r="B182" t="s">
        <v>3670</v>
      </c>
      <c r="C182" t="s">
        <v>3671</v>
      </c>
      <c r="D182" t="s">
        <v>3688</v>
      </c>
      <c r="E182" t="s">
        <v>3689</v>
      </c>
      <c r="F182" t="s">
        <v>3308</v>
      </c>
      <c r="G182" t="s">
        <v>3690</v>
      </c>
    </row>
    <row r="183" spans="1:7" ht="11.25" customHeight="1">
      <c r="A183" s="307" t="s">
        <v>3</v>
      </c>
      <c r="B183" t="s">
        <v>3670</v>
      </c>
      <c r="C183" t="s">
        <v>3671</v>
      </c>
      <c r="D183" t="s">
        <v>3691</v>
      </c>
      <c r="E183" t="s">
        <v>3692</v>
      </c>
      <c r="F183" t="s">
        <v>3248</v>
      </c>
      <c r="G183" t="s">
        <v>3693</v>
      </c>
    </row>
    <row r="184" spans="1:7" ht="11.25" customHeight="1">
      <c r="A184" s="307" t="s">
        <v>3</v>
      </c>
      <c r="B184" t="s">
        <v>127</v>
      </c>
      <c r="C184" t="s">
        <v>128</v>
      </c>
      <c r="D184" t="s">
        <v>127</v>
      </c>
      <c r="E184" t="s">
        <v>128</v>
      </c>
      <c r="F184" t="s">
        <v>3239</v>
      </c>
      <c r="G184" t="s">
        <v>126</v>
      </c>
    </row>
    <row r="185" spans="1:7" ht="11.25" customHeight="1">
      <c r="A185" s="307" t="s">
        <v>3</v>
      </c>
      <c r="B185" t="s">
        <v>175</v>
      </c>
      <c r="C185" t="s">
        <v>3694</v>
      </c>
      <c r="D185" t="s">
        <v>3695</v>
      </c>
      <c r="E185" t="s">
        <v>3696</v>
      </c>
      <c r="F185" t="s">
        <v>3248</v>
      </c>
      <c r="G185" t="s">
        <v>3697</v>
      </c>
    </row>
    <row r="186" spans="1:7" ht="11.25" customHeight="1">
      <c r="A186" s="307" t="s">
        <v>3</v>
      </c>
      <c r="B186" t="s">
        <v>175</v>
      </c>
      <c r="C186" t="s">
        <v>3694</v>
      </c>
      <c r="D186" t="s">
        <v>3698</v>
      </c>
      <c r="E186" t="s">
        <v>3699</v>
      </c>
      <c r="F186" t="s">
        <v>3248</v>
      </c>
      <c r="G186" t="s">
        <v>3700</v>
      </c>
    </row>
    <row r="187" spans="1:7" ht="11.25" customHeight="1">
      <c r="A187" s="307" t="s">
        <v>3</v>
      </c>
      <c r="B187" t="s">
        <v>175</v>
      </c>
      <c r="C187" t="s">
        <v>3694</v>
      </c>
      <c r="D187" t="s">
        <v>176</v>
      </c>
      <c r="E187" t="s">
        <v>177</v>
      </c>
      <c r="F187" t="s">
        <v>3248</v>
      </c>
      <c r="G187" t="s">
        <v>174</v>
      </c>
    </row>
    <row r="188" spans="1:7" ht="11.25" customHeight="1">
      <c r="A188" s="307" t="s">
        <v>3</v>
      </c>
      <c r="B188" t="s">
        <v>175</v>
      </c>
      <c r="C188" t="s">
        <v>3694</v>
      </c>
      <c r="D188" t="s">
        <v>3701</v>
      </c>
      <c r="E188" t="s">
        <v>3702</v>
      </c>
      <c r="F188" t="s">
        <v>3248</v>
      </c>
      <c r="G188" t="s">
        <v>3703</v>
      </c>
    </row>
    <row r="189" spans="1:7" ht="11.25" customHeight="1">
      <c r="A189" s="307" t="s">
        <v>3</v>
      </c>
      <c r="B189" t="s">
        <v>175</v>
      </c>
      <c r="C189" t="s">
        <v>3694</v>
      </c>
      <c r="D189" t="s">
        <v>3704</v>
      </c>
      <c r="E189" t="s">
        <v>3705</v>
      </c>
      <c r="F189" t="s">
        <v>3248</v>
      </c>
      <c r="G189" t="s">
        <v>3706</v>
      </c>
    </row>
    <row r="190" spans="1:7" ht="11.25" customHeight="1">
      <c r="A190" s="307" t="s">
        <v>3</v>
      </c>
      <c r="B190" t="s">
        <v>175</v>
      </c>
      <c r="C190" t="s">
        <v>3694</v>
      </c>
      <c r="D190" t="s">
        <v>175</v>
      </c>
      <c r="E190" t="s">
        <v>3694</v>
      </c>
      <c r="F190" t="s">
        <v>3242</v>
      </c>
      <c r="G190" t="s">
        <v>3707</v>
      </c>
    </row>
    <row r="191" spans="1:7" ht="11.25" customHeight="1">
      <c r="A191" s="307" t="s">
        <v>3</v>
      </c>
      <c r="B191" t="s">
        <v>175</v>
      </c>
      <c r="C191" t="s">
        <v>3694</v>
      </c>
      <c r="D191" t="s">
        <v>3708</v>
      </c>
      <c r="E191" t="s">
        <v>3709</v>
      </c>
      <c r="F191" t="s">
        <v>3308</v>
      </c>
      <c r="G191" t="s">
        <v>3710</v>
      </c>
    </row>
    <row r="192" spans="1:7" ht="11.25" customHeight="1">
      <c r="A192" s="307" t="s">
        <v>3</v>
      </c>
      <c r="B192" t="s">
        <v>112</v>
      </c>
      <c r="C192" t="s">
        <v>113</v>
      </c>
      <c r="D192" t="s">
        <v>112</v>
      </c>
      <c r="E192" t="s">
        <v>113</v>
      </c>
      <c r="F192" t="s">
        <v>3239</v>
      </c>
      <c r="G192" t="s">
        <v>111</v>
      </c>
    </row>
    <row r="193" spans="1:7" ht="11.25" customHeight="1">
      <c r="A193" s="307" t="s">
        <v>3</v>
      </c>
      <c r="B193" t="s">
        <v>3711</v>
      </c>
      <c r="C193" t="s">
        <v>3712</v>
      </c>
      <c r="D193" t="s">
        <v>3713</v>
      </c>
      <c r="E193" t="s">
        <v>3714</v>
      </c>
      <c r="F193" t="s">
        <v>3248</v>
      </c>
      <c r="G193" t="s">
        <v>3715</v>
      </c>
    </row>
    <row r="194" spans="1:7" ht="11.25" customHeight="1">
      <c r="A194" s="307" t="s">
        <v>3</v>
      </c>
      <c r="B194" t="s">
        <v>3711</v>
      </c>
      <c r="C194" t="s">
        <v>3712</v>
      </c>
      <c r="D194" t="s">
        <v>3716</v>
      </c>
      <c r="E194" t="s">
        <v>3717</v>
      </c>
      <c r="F194" t="s">
        <v>3248</v>
      </c>
      <c r="G194" t="s">
        <v>3718</v>
      </c>
    </row>
    <row r="195" spans="1:7" ht="11.25" customHeight="1">
      <c r="A195" s="307" t="s">
        <v>3</v>
      </c>
      <c r="B195" t="s">
        <v>3711</v>
      </c>
      <c r="C195" t="s">
        <v>3712</v>
      </c>
      <c r="D195" t="s">
        <v>3719</v>
      </c>
      <c r="E195" t="s">
        <v>3720</v>
      </c>
      <c r="F195" t="s">
        <v>3248</v>
      </c>
      <c r="G195" t="s">
        <v>3721</v>
      </c>
    </row>
    <row r="196" spans="1:7" ht="11.25" customHeight="1">
      <c r="A196" s="307" t="s">
        <v>3</v>
      </c>
      <c r="B196" t="s">
        <v>3711</v>
      </c>
      <c r="C196" t="s">
        <v>3712</v>
      </c>
      <c r="D196" t="s">
        <v>3722</v>
      </c>
      <c r="E196" t="s">
        <v>3723</v>
      </c>
      <c r="F196" t="s">
        <v>3248</v>
      </c>
      <c r="G196" t="s">
        <v>3724</v>
      </c>
    </row>
    <row r="197" spans="1:7" ht="11.25" customHeight="1">
      <c r="A197" s="307" t="s">
        <v>3</v>
      </c>
      <c r="B197" t="s">
        <v>3711</v>
      </c>
      <c r="C197" t="s">
        <v>3712</v>
      </c>
      <c r="D197" t="s">
        <v>3725</v>
      </c>
      <c r="E197" t="s">
        <v>3726</v>
      </c>
      <c r="F197" t="s">
        <v>3248</v>
      </c>
      <c r="G197" t="s">
        <v>3727</v>
      </c>
    </row>
    <row r="198" spans="1:7" ht="11.25" customHeight="1">
      <c r="A198" s="307" t="s">
        <v>3</v>
      </c>
      <c r="B198" t="s">
        <v>3711</v>
      </c>
      <c r="C198" t="s">
        <v>3712</v>
      </c>
      <c r="D198" t="s">
        <v>3728</v>
      </c>
      <c r="E198" t="s">
        <v>3729</v>
      </c>
      <c r="F198" t="s">
        <v>3248</v>
      </c>
      <c r="G198" t="s">
        <v>3730</v>
      </c>
    </row>
    <row r="199" spans="1:7" ht="11.25" customHeight="1">
      <c r="A199" s="307" t="s">
        <v>3</v>
      </c>
      <c r="B199" t="s">
        <v>3711</v>
      </c>
      <c r="C199" t="s">
        <v>3712</v>
      </c>
      <c r="D199" t="s">
        <v>3731</v>
      </c>
      <c r="E199" t="s">
        <v>3732</v>
      </c>
      <c r="F199" t="s">
        <v>3248</v>
      </c>
      <c r="G199" t="s">
        <v>3733</v>
      </c>
    </row>
    <row r="200" spans="1:7" ht="11.25" customHeight="1">
      <c r="A200" s="307" t="s">
        <v>3</v>
      </c>
      <c r="B200" t="s">
        <v>3711</v>
      </c>
      <c r="C200" t="s">
        <v>3712</v>
      </c>
      <c r="D200" t="s">
        <v>3711</v>
      </c>
      <c r="E200" t="s">
        <v>3712</v>
      </c>
      <c r="F200" t="s">
        <v>3242</v>
      </c>
      <c r="G200" t="s">
        <v>3734</v>
      </c>
    </row>
    <row r="201" spans="1:7" ht="11.25" customHeight="1">
      <c r="A201" s="307" t="s">
        <v>3</v>
      </c>
      <c r="B201" t="s">
        <v>3711</v>
      </c>
      <c r="C201" t="s">
        <v>3712</v>
      </c>
      <c r="D201" t="s">
        <v>3735</v>
      </c>
      <c r="E201" t="s">
        <v>3736</v>
      </c>
      <c r="F201" t="s">
        <v>3308</v>
      </c>
      <c r="G201" t="s">
        <v>3737</v>
      </c>
    </row>
    <row r="202" spans="1:7" ht="11.25" customHeight="1">
      <c r="A202" s="307" t="s">
        <v>3</v>
      </c>
      <c r="B202" t="s">
        <v>139</v>
      </c>
      <c r="C202" t="s">
        <v>140</v>
      </c>
      <c r="D202" t="s">
        <v>139</v>
      </c>
      <c r="E202" t="s">
        <v>140</v>
      </c>
      <c r="F202" t="s">
        <v>3239</v>
      </c>
      <c r="G202" t="s">
        <v>138</v>
      </c>
    </row>
    <row r="203" spans="1:7" ht="11.25" customHeight="1">
      <c r="A203" s="307" t="s">
        <v>3</v>
      </c>
      <c r="B203" t="s">
        <v>3738</v>
      </c>
      <c r="C203" t="s">
        <v>3739</v>
      </c>
      <c r="D203" t="s">
        <v>3740</v>
      </c>
      <c r="E203" t="s">
        <v>3741</v>
      </c>
      <c r="F203" t="s">
        <v>3248</v>
      </c>
      <c r="G203" t="s">
        <v>3742</v>
      </c>
    </row>
    <row r="204" spans="1:7" ht="11.25" customHeight="1">
      <c r="A204" s="307" t="s">
        <v>3</v>
      </c>
      <c r="B204" t="s">
        <v>3738</v>
      </c>
      <c r="C204" t="s">
        <v>3739</v>
      </c>
      <c r="D204" t="s">
        <v>3743</v>
      </c>
      <c r="E204" t="s">
        <v>3744</v>
      </c>
      <c r="F204" t="s">
        <v>3248</v>
      </c>
      <c r="G204" t="s">
        <v>3745</v>
      </c>
    </row>
    <row r="205" spans="1:7" ht="11.25" customHeight="1">
      <c r="A205" s="307" t="s">
        <v>3</v>
      </c>
      <c r="B205" t="s">
        <v>3738</v>
      </c>
      <c r="C205" t="s">
        <v>3739</v>
      </c>
      <c r="D205" t="s">
        <v>3746</v>
      </c>
      <c r="E205" t="s">
        <v>3747</v>
      </c>
      <c r="F205" t="s">
        <v>3248</v>
      </c>
      <c r="G205" t="s">
        <v>3748</v>
      </c>
    </row>
    <row r="206" spans="1:7" ht="11.25" customHeight="1">
      <c r="A206" s="307" t="s">
        <v>3</v>
      </c>
      <c r="B206" t="s">
        <v>3738</v>
      </c>
      <c r="C206" t="s">
        <v>3739</v>
      </c>
      <c r="D206" t="s">
        <v>3749</v>
      </c>
      <c r="E206" t="s">
        <v>3750</v>
      </c>
      <c r="F206" t="s">
        <v>3248</v>
      </c>
      <c r="G206" t="s">
        <v>3751</v>
      </c>
    </row>
    <row r="207" spans="1:7" ht="11.25" customHeight="1">
      <c r="A207" s="307" t="s">
        <v>3</v>
      </c>
      <c r="B207" t="s">
        <v>3738</v>
      </c>
      <c r="C207" t="s">
        <v>3739</v>
      </c>
      <c r="D207" t="s">
        <v>3752</v>
      </c>
      <c r="E207" t="s">
        <v>3753</v>
      </c>
      <c r="F207" t="s">
        <v>3248</v>
      </c>
      <c r="G207" t="s">
        <v>3754</v>
      </c>
    </row>
    <row r="208" spans="1:7" ht="11.25" customHeight="1">
      <c r="A208" s="307" t="s">
        <v>3</v>
      </c>
      <c r="B208" t="s">
        <v>3738</v>
      </c>
      <c r="C208" t="s">
        <v>3739</v>
      </c>
      <c r="D208" t="s">
        <v>3738</v>
      </c>
      <c r="E208" t="s">
        <v>3739</v>
      </c>
      <c r="F208" t="s">
        <v>3242</v>
      </c>
      <c r="G208" t="s">
        <v>3755</v>
      </c>
    </row>
    <row r="209" spans="1:7" ht="11.25" customHeight="1">
      <c r="A209" s="307" t="s">
        <v>3</v>
      </c>
      <c r="B209" t="s">
        <v>3738</v>
      </c>
      <c r="C209" t="s">
        <v>3739</v>
      </c>
      <c r="D209" t="s">
        <v>3756</v>
      </c>
      <c r="E209" t="s">
        <v>3757</v>
      </c>
      <c r="F209" t="s">
        <v>3245</v>
      </c>
      <c r="G209" t="s">
        <v>3758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5" customWidth="1"/>
    <col min="2" max="2" width="10.42578125" style="1615" customWidth="1"/>
    <col min="3" max="3" width="7.5703125" style="1615" customWidth="1"/>
    <col min="4" max="4" width="13.85546875" style="1615" customWidth="1"/>
    <col min="5" max="5" width="11.5703125" style="1615" customWidth="1"/>
    <col min="6" max="6" width="16.28515625" style="1615" customWidth="1"/>
    <col min="7" max="7" width="16" style="1615" customWidth="1"/>
    <col min="8" max="9" width="16.140625" style="1615" customWidth="1"/>
  </cols>
  <sheetData>
    <row r="1" spans="1:9" ht="11.25" customHeight="1">
      <c r="A1" s="763" t="s">
        <v>3759</v>
      </c>
      <c r="B1" s="763" t="s">
        <v>3760</v>
      </c>
      <c r="C1" s="1083" t="s">
        <v>3761</v>
      </c>
      <c r="D1" s="763" t="s">
        <v>3762</v>
      </c>
      <c r="E1" s="763" t="s">
        <v>3763</v>
      </c>
      <c r="F1" s="1083" t="s">
        <v>3764</v>
      </c>
      <c r="G1" s="1083" t="s">
        <v>3765</v>
      </c>
      <c r="H1" s="1083" t="s">
        <v>3766</v>
      </c>
      <c r="I1" s="1083" t="s">
        <v>3767</v>
      </c>
    </row>
    <row r="2" spans="1:9" ht="11.25" customHeight="1">
      <c r="A2" s="1615" t="s">
        <v>184</v>
      </c>
      <c r="B2" s="1615" t="s">
        <v>3768</v>
      </c>
      <c r="C2" s="1615" t="s">
        <v>15</v>
      </c>
      <c r="D2" s="1615" t="s">
        <v>3769</v>
      </c>
      <c r="E2" s="1615" t="s">
        <v>3770</v>
      </c>
      <c r="F2" s="1615" t="s">
        <v>15</v>
      </c>
      <c r="G2" s="1615" t="s">
        <v>15</v>
      </c>
      <c r="H2" s="1615" t="s">
        <v>15</v>
      </c>
      <c r="I2" s="1615" t="s">
        <v>15</v>
      </c>
    </row>
    <row r="3" spans="1:9" ht="11.25" customHeight="1">
      <c r="A3" s="1615" t="s">
        <v>89</v>
      </c>
      <c r="B3" s="1615" t="s">
        <v>3771</v>
      </c>
      <c r="C3" s="1615" t="s">
        <v>15</v>
      </c>
      <c r="D3" s="1615" t="s">
        <v>3769</v>
      </c>
      <c r="E3" s="1615" t="s">
        <v>3770</v>
      </c>
      <c r="F3" s="1615" t="s">
        <v>15</v>
      </c>
      <c r="G3" s="1615" t="s">
        <v>15</v>
      </c>
      <c r="H3" s="1615" t="s">
        <v>15</v>
      </c>
      <c r="I3" s="1615" t="s">
        <v>15</v>
      </c>
    </row>
    <row r="4" spans="1:9" ht="11.25" customHeight="1">
      <c r="A4" s="1615" t="s">
        <v>77</v>
      </c>
      <c r="B4" s="1615" t="s">
        <v>3772</v>
      </c>
      <c r="C4" s="1615" t="s">
        <v>15</v>
      </c>
      <c r="D4" s="1615" t="s">
        <v>3773</v>
      </c>
      <c r="E4" s="1615" t="s">
        <v>3774</v>
      </c>
      <c r="F4" s="1615" t="s">
        <v>15</v>
      </c>
      <c r="G4" s="1615" t="s">
        <v>15</v>
      </c>
      <c r="H4" s="1615" t="s">
        <v>15</v>
      </c>
      <c r="I4" s="1615" t="s">
        <v>15</v>
      </c>
    </row>
    <row r="5" spans="1:9" ht="11.25" customHeight="1">
      <c r="A5" s="1615" t="s">
        <v>78</v>
      </c>
      <c r="B5" s="1615" t="s">
        <v>3775</v>
      </c>
      <c r="C5" s="1615" t="s">
        <v>15</v>
      </c>
      <c r="D5" s="1615" t="s">
        <v>3776</v>
      </c>
      <c r="E5" s="1615" t="s">
        <v>3777</v>
      </c>
      <c r="F5" s="1615" t="s">
        <v>15</v>
      </c>
      <c r="G5" s="1615" t="s">
        <v>15</v>
      </c>
      <c r="H5" s="1615" t="s">
        <v>15</v>
      </c>
      <c r="I5" s="1615" t="s">
        <v>15</v>
      </c>
    </row>
    <row r="6" spans="1:9" ht="11.25" customHeight="1">
      <c r="A6" s="1615" t="s">
        <v>115</v>
      </c>
      <c r="B6" s="1615" t="s">
        <v>3778</v>
      </c>
      <c r="C6" s="1615" t="s">
        <v>15</v>
      </c>
      <c r="D6" s="1615" t="s">
        <v>3779</v>
      </c>
      <c r="E6" s="1615" t="s">
        <v>3780</v>
      </c>
      <c r="F6" s="1615" t="s">
        <v>15</v>
      </c>
      <c r="G6" s="1615" t="s">
        <v>15</v>
      </c>
      <c r="H6" s="1615" t="s">
        <v>15</v>
      </c>
      <c r="I6" s="1615" t="s">
        <v>15</v>
      </c>
    </row>
    <row r="7" spans="1:9" ht="11.25" customHeight="1">
      <c r="A7" s="1615" t="s">
        <v>79</v>
      </c>
      <c r="B7" s="1615" t="s">
        <v>3781</v>
      </c>
      <c r="C7" s="1615" t="s">
        <v>15</v>
      </c>
      <c r="D7" s="1615" t="s">
        <v>3782</v>
      </c>
      <c r="E7" s="1615" t="s">
        <v>3783</v>
      </c>
      <c r="F7" s="1615" t="s">
        <v>15</v>
      </c>
      <c r="G7" s="1615" t="s">
        <v>15</v>
      </c>
      <c r="H7" s="1615" t="s">
        <v>15</v>
      </c>
      <c r="I7" s="1615" t="s">
        <v>15</v>
      </c>
    </row>
    <row r="8" spans="1:9" ht="11.25" customHeight="1">
      <c r="A8" s="1615" t="s">
        <v>80</v>
      </c>
      <c r="B8" s="1615" t="s">
        <v>3784</v>
      </c>
      <c r="C8" s="1615" t="s">
        <v>15</v>
      </c>
      <c r="D8" s="1615" t="s">
        <v>3782</v>
      </c>
      <c r="E8" s="1615" t="s">
        <v>3770</v>
      </c>
      <c r="F8" s="1615" t="s">
        <v>15</v>
      </c>
      <c r="G8" s="1615" t="s">
        <v>15</v>
      </c>
      <c r="H8" s="1615" t="s">
        <v>15</v>
      </c>
      <c r="I8" s="1615" t="s">
        <v>15</v>
      </c>
    </row>
    <row r="9" spans="1:9" ht="11.25" customHeight="1">
      <c r="A9" s="1615" t="s">
        <v>134</v>
      </c>
      <c r="B9" s="1615" t="s">
        <v>3785</v>
      </c>
      <c r="C9" s="1615" t="s">
        <v>15</v>
      </c>
      <c r="D9" s="1615" t="s">
        <v>3782</v>
      </c>
      <c r="E9" s="1615" t="s">
        <v>3786</v>
      </c>
      <c r="F9" s="1615" t="s">
        <v>15</v>
      </c>
      <c r="G9" s="1615" t="s">
        <v>15</v>
      </c>
      <c r="H9" s="1615" t="s">
        <v>15</v>
      </c>
      <c r="I9" s="1615" t="s">
        <v>15</v>
      </c>
    </row>
    <row r="10" spans="1:9" ht="11.25" customHeight="1">
      <c r="A10" s="1615" t="s">
        <v>136</v>
      </c>
      <c r="B10" s="1615" t="s">
        <v>3787</v>
      </c>
      <c r="C10" s="1615" t="s">
        <v>15</v>
      </c>
      <c r="D10" s="1615" t="s">
        <v>3779</v>
      </c>
      <c r="E10" s="1615" t="s">
        <v>3788</v>
      </c>
      <c r="F10" s="1615" t="s">
        <v>15</v>
      </c>
      <c r="G10" s="1615" t="s">
        <v>15</v>
      </c>
      <c r="H10" s="1615" t="s">
        <v>15</v>
      </c>
      <c r="I10" s="1615" t="s">
        <v>15</v>
      </c>
    </row>
    <row r="11" spans="1:9" ht="11.25" customHeight="1">
      <c r="A11" s="1615" t="s">
        <v>141</v>
      </c>
      <c r="B11" s="1615" t="s">
        <v>3789</v>
      </c>
      <c r="C11" s="1615" t="s">
        <v>15</v>
      </c>
      <c r="D11" s="1615" t="s">
        <v>3779</v>
      </c>
      <c r="E11" s="1615" t="s">
        <v>3780</v>
      </c>
      <c r="F11" s="1615" t="s">
        <v>15</v>
      </c>
      <c r="G11" s="1615" t="s">
        <v>15</v>
      </c>
      <c r="H11" s="1615" t="s">
        <v>15</v>
      </c>
      <c r="I11" s="1615" t="s">
        <v>15</v>
      </c>
    </row>
    <row r="12" spans="1:9" ht="11.25" customHeight="1">
      <c r="A12" s="1615" t="s">
        <v>146</v>
      </c>
      <c r="B12" s="1615" t="s">
        <v>3790</v>
      </c>
      <c r="C12" s="1615" t="s">
        <v>15</v>
      </c>
      <c r="D12" s="1615" t="s">
        <v>3791</v>
      </c>
      <c r="E12" s="1615" t="s">
        <v>3792</v>
      </c>
      <c r="F12" s="1615" t="s">
        <v>15</v>
      </c>
      <c r="G12" s="1615" t="s">
        <v>15</v>
      </c>
      <c r="H12" s="1615" t="s">
        <v>15</v>
      </c>
      <c r="I12" s="1615" t="s">
        <v>15</v>
      </c>
    </row>
    <row r="13" spans="1:9" ht="11.25" customHeight="1">
      <c r="A13" s="1615" t="s">
        <v>151</v>
      </c>
      <c r="B13" s="1615" t="s">
        <v>3793</v>
      </c>
      <c r="C13" s="1615" t="s">
        <v>15</v>
      </c>
      <c r="D13" s="1615" t="s">
        <v>3794</v>
      </c>
      <c r="E13" s="1615" t="s">
        <v>3792</v>
      </c>
      <c r="F13" s="1615" t="s">
        <v>15</v>
      </c>
      <c r="G13" s="1615" t="s">
        <v>15</v>
      </c>
      <c r="H13" s="1615" t="s">
        <v>15</v>
      </c>
      <c r="I13" s="1615" t="s">
        <v>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4"/>
  <sheetViews>
    <sheetView showGridLines="0" workbookViewId="0"/>
  </sheetViews>
  <sheetFormatPr defaultColWidth="9.140625" defaultRowHeight="11.25" customHeight="1"/>
  <cols>
    <col min="1" max="2" width="9.140625" style="118"/>
  </cols>
  <sheetData>
    <row r="1" spans="1:2" ht="11.25" customHeight="1">
      <c r="A1" s="118" t="s">
        <v>202</v>
      </c>
      <c r="B1" s="118" t="s">
        <v>3795</v>
      </c>
    </row>
    <row r="2" spans="1:2" ht="11.25" customHeight="1">
      <c r="A2" s="118" t="s">
        <v>85</v>
      </c>
      <c r="B2" s="118" t="s">
        <v>3796</v>
      </c>
    </row>
    <row r="3" spans="1:2" ht="11.25" customHeight="1">
      <c r="A3" s="118" t="s">
        <v>91</v>
      </c>
      <c r="B3" s="118" t="s">
        <v>3797</v>
      </c>
    </row>
    <row r="4" spans="1:2" ht="11.25" customHeight="1">
      <c r="A4" s="118" t="s">
        <v>101</v>
      </c>
      <c r="B4" s="118" t="s">
        <v>3798</v>
      </c>
    </row>
    <row r="5" spans="1:2" ht="11.25" customHeight="1">
      <c r="A5" s="118" t="s">
        <v>114</v>
      </c>
      <c r="B5" s="118" t="s">
        <v>3799</v>
      </c>
    </row>
    <row r="6" spans="1:2" ht="11.25" customHeight="1">
      <c r="A6" s="118" t="s">
        <v>116</v>
      </c>
      <c r="B6" s="118" t="s">
        <v>3800</v>
      </c>
    </row>
    <row r="7" spans="1:2" ht="11.25" customHeight="1">
      <c r="A7" s="118" t="s">
        <v>129</v>
      </c>
      <c r="B7" s="118" t="s">
        <v>3801</v>
      </c>
    </row>
    <row r="8" spans="1:2" ht="11.25" customHeight="1">
      <c r="A8" s="118" t="s">
        <v>130</v>
      </c>
      <c r="B8" s="118" t="s">
        <v>3802</v>
      </c>
    </row>
    <row r="9" spans="1:2" ht="11.25" customHeight="1">
      <c r="A9" s="118" t="s">
        <v>135</v>
      </c>
      <c r="B9" s="118" t="s">
        <v>3803</v>
      </c>
    </row>
    <row r="10" spans="1:2" ht="11.25" customHeight="1">
      <c r="A10" s="118" t="s">
        <v>137</v>
      </c>
      <c r="B10" s="118" t="s">
        <v>3804</v>
      </c>
    </row>
    <row r="11" spans="1:2" ht="11.25" customHeight="1">
      <c r="A11" s="118" t="s">
        <v>142</v>
      </c>
      <c r="B11" s="118" t="s">
        <v>3805</v>
      </c>
    </row>
    <row r="12" spans="1:2" ht="11.25" customHeight="1">
      <c r="A12" s="118" t="s">
        <v>147</v>
      </c>
      <c r="B12" s="118" t="s">
        <v>3806</v>
      </c>
    </row>
    <row r="13" spans="1:2" ht="11.25" customHeight="1">
      <c r="A13" s="118" t="s">
        <v>152</v>
      </c>
      <c r="B13" s="118" t="s">
        <v>3807</v>
      </c>
    </row>
    <row r="14" spans="1:2" ht="11.25" customHeight="1">
      <c r="A14" s="118" t="s">
        <v>154</v>
      </c>
      <c r="B14" s="118" t="s">
        <v>3808</v>
      </c>
    </row>
    <row r="15" spans="1:2" ht="11.25" customHeight="1">
      <c r="A15" s="118" t="s">
        <v>156</v>
      </c>
      <c r="B15" s="118" t="s">
        <v>3809</v>
      </c>
    </row>
    <row r="16" spans="1:2" ht="11.25" customHeight="1">
      <c r="A16" s="118" t="s">
        <v>158</v>
      </c>
      <c r="B16" s="118" t="s">
        <v>3810</v>
      </c>
    </row>
    <row r="17" spans="1:2" ht="11.25" customHeight="1">
      <c r="A17" s="118" t="s">
        <v>160</v>
      </c>
      <c r="B17" s="118" t="s">
        <v>3811</v>
      </c>
    </row>
    <row r="18" spans="1:2" ht="11.25" customHeight="1">
      <c r="A18" s="118" t="s">
        <v>161</v>
      </c>
      <c r="B18" s="118" t="s">
        <v>3812</v>
      </c>
    </row>
    <row r="19" spans="1:2" ht="11.25" customHeight="1">
      <c r="A19" s="118" t="s">
        <v>163</v>
      </c>
      <c r="B19" s="118" t="s">
        <v>3813</v>
      </c>
    </row>
    <row r="20" spans="1:2" ht="11.25" customHeight="1">
      <c r="A20" s="118" t="s">
        <v>165</v>
      </c>
      <c r="B20" s="118" t="s">
        <v>3814</v>
      </c>
    </row>
    <row r="21" spans="1:2" ht="11.25" customHeight="1">
      <c r="A21" s="118" t="s">
        <v>167</v>
      </c>
      <c r="B21" s="118" t="s">
        <v>3815</v>
      </c>
    </row>
    <row r="22" spans="1:2" ht="11.25" customHeight="1">
      <c r="A22" s="118" t="s">
        <v>169</v>
      </c>
      <c r="B22" s="118" t="s">
        <v>3816</v>
      </c>
    </row>
    <row r="23" spans="1:2" ht="11.25" customHeight="1">
      <c r="A23" s="118" t="s">
        <v>171</v>
      </c>
      <c r="B23" s="118" t="s">
        <v>3817</v>
      </c>
    </row>
    <row r="24" spans="1:2" ht="11.25" customHeight="1">
      <c r="A24" s="118" t="s">
        <v>173</v>
      </c>
      <c r="B24" s="118" t="s">
        <v>3818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3" t="s">
        <v>3819</v>
      </c>
      <c r="B1" s="763" t="s">
        <v>3820</v>
      </c>
    </row>
    <row r="2" spans="1:2" ht="11.25" customHeight="1">
      <c r="A2" s="763">
        <v>4213775</v>
      </c>
      <c r="B2" s="763" t="s">
        <v>1434</v>
      </c>
    </row>
    <row r="3" spans="1:2" ht="11.25" customHeight="1">
      <c r="A3" s="763">
        <v>4213784</v>
      </c>
      <c r="B3" s="763" t="s">
        <v>226</v>
      </c>
    </row>
    <row r="4" spans="1:2" ht="11.25" customHeight="1">
      <c r="A4" s="763">
        <v>4213781</v>
      </c>
      <c r="B4" s="763" t="s">
        <v>1460</v>
      </c>
    </row>
    <row r="5" spans="1:2" ht="11.25" customHeight="1">
      <c r="A5" s="763">
        <v>4213776</v>
      </c>
      <c r="B5" s="763" t="s">
        <v>289</v>
      </c>
    </row>
    <row r="6" spans="1:2" ht="11.25" customHeight="1">
      <c r="A6" s="763">
        <v>4213777</v>
      </c>
      <c r="B6" s="763" t="s">
        <v>379</v>
      </c>
    </row>
    <row r="7" spans="1:2" ht="11.25" customHeight="1">
      <c r="A7" s="763">
        <v>4213778</v>
      </c>
      <c r="B7" s="763" t="s">
        <v>388</v>
      </c>
    </row>
    <row r="8" spans="1:2" ht="11.25" customHeight="1">
      <c r="A8" s="763">
        <v>4213780</v>
      </c>
      <c r="B8" s="763" t="s">
        <v>394</v>
      </c>
    </row>
    <row r="9" spans="1:2" ht="11.25" customHeight="1">
      <c r="A9" s="763">
        <v>4213779</v>
      </c>
      <c r="B9" s="763" t="s">
        <v>1600</v>
      </c>
    </row>
    <row r="10" spans="1:2" ht="11.25" customHeight="1">
      <c r="A10" s="763">
        <v>4213783</v>
      </c>
      <c r="B10" s="763" t="s">
        <v>1615</v>
      </c>
    </row>
    <row r="11" spans="1:2" ht="11.25" customHeight="1">
      <c r="A11" s="763">
        <v>4213782</v>
      </c>
      <c r="B11" s="763" t="s">
        <v>400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6" hidden="1" customWidth="1"/>
    <col min="2" max="2" width="9.140625" style="1559" hidden="1" customWidth="1"/>
    <col min="3" max="3" width="3" style="1737" customWidth="1"/>
    <col min="4" max="4" width="5" style="1559" customWidth="1"/>
    <col min="5" max="5" width="38" style="1559" customWidth="1"/>
    <col min="6" max="7" width="3" style="1559" customWidth="1"/>
    <col min="8" max="8" width="38" style="1559" customWidth="1"/>
    <col min="9" max="9" width="35" style="1559" customWidth="1"/>
    <col min="10" max="10" width="103" style="1559" customWidth="1"/>
    <col min="11" max="11" width="3" style="1715" customWidth="1"/>
    <col min="12" max="14" width="10" style="1566" customWidth="1"/>
    <col min="15" max="15" width="13" style="1566" customWidth="1"/>
    <col min="16" max="16" width="15" style="1566" customWidth="1"/>
    <col min="17" max="17" width="16" style="1566" customWidth="1"/>
    <col min="18" max="21" width="10" style="1566" customWidth="1"/>
    <col min="22" max="22" width="10.5703125" style="1559" hidden="1"/>
  </cols>
  <sheetData>
    <row r="1" spans="1:22" ht="22.5" hidden="1" customHeight="1">
      <c r="E1" s="346"/>
      <c r="F1" s="346"/>
      <c r="G1" s="346"/>
      <c r="H1" s="3877" t="s">
        <v>560</v>
      </c>
      <c r="I1" s="3877"/>
      <c r="V1" s="1531" t="s">
        <v>1</v>
      </c>
    </row>
    <row r="2" spans="1:22" s="1559" customFormat="1" ht="14.25" hidden="1" customHeight="1">
      <c r="C2" s="1543"/>
      <c r="D2" s="4015" t="s">
        <v>184</v>
      </c>
      <c r="E2" s="4017"/>
      <c r="F2" s="1549"/>
      <c r="G2" s="1544" t="s">
        <v>184</v>
      </c>
      <c r="H2" s="1547"/>
      <c r="I2" s="1545"/>
      <c r="L2" s="1546"/>
      <c r="M2" s="1546"/>
      <c r="N2" s="1546"/>
      <c r="O2" s="1546" t="s">
        <v>590</v>
      </c>
      <c r="P2" s="1546"/>
      <c r="Q2" s="1546"/>
      <c r="R2" s="1548" t="s">
        <v>589</v>
      </c>
      <c r="S2" s="1548" t="s">
        <v>589</v>
      </c>
      <c r="T2" s="1546"/>
      <c r="U2" s="1546"/>
      <c r="V2" s="1542">
        <v>0</v>
      </c>
    </row>
    <row r="3" spans="1:22" s="1559" customFormat="1" ht="14.25" hidden="1" customHeight="1">
      <c r="C3" s="1543"/>
      <c r="D3" s="4016"/>
      <c r="E3" s="4018"/>
      <c r="F3" s="339"/>
      <c r="G3" s="797"/>
      <c r="H3" s="797" t="s">
        <v>591</v>
      </c>
      <c r="I3" s="248"/>
      <c r="L3" s="1546"/>
      <c r="M3" s="1546"/>
      <c r="N3" s="1546"/>
      <c r="O3" s="1546"/>
      <c r="P3" s="1546"/>
      <c r="Q3" s="1546"/>
      <c r="R3" s="1548"/>
      <c r="S3" s="1548"/>
      <c r="T3" s="1546"/>
      <c r="U3" s="1546"/>
      <c r="V3" s="1542">
        <v>0</v>
      </c>
    </row>
    <row r="4" spans="1:22" ht="14.25" hidden="1" customHeight="1">
      <c r="V4" s="1531">
        <v>0</v>
      </c>
    </row>
    <row r="5" spans="1:22" s="1537" customFormat="1" ht="5.25" customHeight="1">
      <c r="C5" s="635"/>
      <c r="D5" s="636"/>
      <c r="E5" s="636"/>
      <c r="F5" s="636"/>
      <c r="G5" s="636"/>
      <c r="H5" s="636" t="s">
        <v>564</v>
      </c>
      <c r="I5" s="636"/>
      <c r="J5" s="636"/>
      <c r="L5" s="1538"/>
      <c r="M5" s="1538"/>
      <c r="N5" s="1538"/>
      <c r="O5" s="1538"/>
      <c r="P5" s="1538"/>
      <c r="Q5" s="1538"/>
      <c r="R5" s="1538"/>
      <c r="S5" s="1538"/>
      <c r="T5" s="1538"/>
      <c r="U5" s="1538"/>
      <c r="V5" s="1537">
        <v>5</v>
      </c>
    </row>
    <row r="6" spans="1:22" ht="29.25" customHeight="1">
      <c r="C6" s="1440"/>
      <c r="D6" s="4014" t="s">
        <v>592</v>
      </c>
      <c r="E6" s="4014"/>
      <c r="F6" s="4014"/>
      <c r="G6" s="4014"/>
      <c r="H6" s="4014"/>
      <c r="I6" s="4014"/>
      <c r="J6" s="425"/>
      <c r="K6" s="1539"/>
      <c r="V6" s="1531">
        <v>28</v>
      </c>
    </row>
    <row r="7" spans="1:22" ht="18" customHeight="1">
      <c r="C7" s="1440"/>
      <c r="D7" s="3987" t="str">
        <f>IF(org=0,"Не определено",org)</f>
        <v>ООО "Смоленскрегионтеплоэнерго"</v>
      </c>
      <c r="E7" s="3987"/>
      <c r="F7" s="3987"/>
      <c r="G7" s="3987"/>
      <c r="H7" s="3987"/>
      <c r="I7" s="3987"/>
      <c r="J7" s="425"/>
      <c r="K7" s="1539"/>
      <c r="V7" s="1531">
        <v>17</v>
      </c>
    </row>
    <row r="8" spans="1:22" s="1536" customFormat="1" ht="5.25" customHeight="1">
      <c r="A8" s="1535"/>
      <c r="C8" s="420"/>
      <c r="D8" s="419"/>
      <c r="E8" s="419"/>
      <c r="F8" s="419"/>
      <c r="G8" s="419"/>
      <c r="H8" s="419"/>
      <c r="I8" s="419"/>
      <c r="J8" s="419"/>
      <c r="L8" s="1538"/>
      <c r="M8" s="1538"/>
      <c r="N8" s="1538"/>
      <c r="O8" s="1538"/>
      <c r="P8" s="1538"/>
      <c r="Q8" s="1538"/>
      <c r="R8" s="1538"/>
      <c r="S8" s="1538"/>
      <c r="T8" s="1538"/>
      <c r="U8" s="1538"/>
      <c r="V8" s="1536">
        <v>5</v>
      </c>
    </row>
    <row r="9" spans="1:22" s="1536" customFormat="1" ht="5.25" customHeight="1">
      <c r="A9" s="1535"/>
      <c r="C9" s="420"/>
      <c r="D9" s="419"/>
      <c r="E9" s="419"/>
      <c r="F9" s="419"/>
      <c r="G9" s="419"/>
      <c r="H9" s="419"/>
      <c r="I9" s="419"/>
      <c r="J9" s="419"/>
      <c r="L9" s="1546"/>
      <c r="M9" s="1546"/>
      <c r="N9" s="1546"/>
      <c r="O9" s="1546"/>
      <c r="P9" s="1546"/>
      <c r="Q9" s="1546"/>
      <c r="R9" s="1546"/>
      <c r="S9" s="1546"/>
      <c r="T9" s="1546"/>
      <c r="U9" s="1546"/>
      <c r="V9" s="1536">
        <v>5</v>
      </c>
    </row>
    <row r="10" spans="1:22" ht="14.65" customHeight="1">
      <c r="C10" s="1440"/>
      <c r="D10" s="4000" t="s">
        <v>508</v>
      </c>
      <c r="E10" s="4012"/>
      <c r="F10" s="4012"/>
      <c r="G10" s="4012"/>
      <c r="H10" s="4012"/>
      <c r="I10" s="4012"/>
      <c r="J10" s="3951" t="s">
        <v>509</v>
      </c>
      <c r="V10" s="1531">
        <v>14</v>
      </c>
    </row>
    <row r="11" spans="1:22" ht="27.4" customHeight="1">
      <c r="C11" s="1440"/>
      <c r="D11" s="3889" t="s">
        <v>75</v>
      </c>
      <c r="E11" s="3951" t="s">
        <v>180</v>
      </c>
      <c r="F11" s="3968" t="s">
        <v>75</v>
      </c>
      <c r="G11" s="3969"/>
      <c r="H11" s="3967" t="s">
        <v>593</v>
      </c>
      <c r="I11" s="3967" t="s">
        <v>594</v>
      </c>
      <c r="J11" s="3951"/>
      <c r="V11" s="1531">
        <v>26</v>
      </c>
    </row>
    <row r="12" spans="1:22" ht="14.65" customHeight="1">
      <c r="C12" s="1440"/>
      <c r="D12" s="3889"/>
      <c r="E12" s="3951"/>
      <c r="F12" s="3973"/>
      <c r="G12" s="3974"/>
      <c r="H12" s="4019"/>
      <c r="I12" s="4019"/>
      <c r="J12" s="3951"/>
      <c r="V12" s="1531">
        <v>14</v>
      </c>
    </row>
    <row r="13" spans="1:22" s="1565" customFormat="1" ht="11.25" hidden="1" customHeight="1">
      <c r="C13" s="432"/>
      <c r="D13" s="433" t="s">
        <v>584</v>
      </c>
      <c r="E13" s="433"/>
      <c r="F13" s="433"/>
      <c r="G13" s="433"/>
      <c r="H13" s="431"/>
      <c r="I13" s="431"/>
      <c r="J13" s="369"/>
      <c r="L13" s="1538"/>
      <c r="M13" s="1538"/>
      <c r="N13" s="1538"/>
      <c r="O13" s="1538"/>
      <c r="P13" s="1538"/>
      <c r="Q13" s="1538"/>
      <c r="R13" s="1538"/>
      <c r="S13" s="1538"/>
      <c r="T13" s="1538"/>
      <c r="U13" s="1538"/>
      <c r="V13" s="430">
        <v>0</v>
      </c>
    </row>
    <row r="14" spans="1:22" ht="14.65" customHeight="1">
      <c r="A14" s="1531"/>
      <c r="C14" s="1440"/>
      <c r="D14" s="4015" t="s">
        <v>184</v>
      </c>
      <c r="E14" s="4017"/>
      <c r="F14" s="1541"/>
      <c r="G14" s="1540" t="s">
        <v>184</v>
      </c>
      <c r="H14" s="1547"/>
      <c r="I14" s="1545"/>
      <c r="J14" s="3935" t="s">
        <v>595</v>
      </c>
      <c r="K14" s="1531"/>
      <c r="R14" s="434" t="s">
        <v>589</v>
      </c>
      <c r="S14" s="434" t="s">
        <v>589</v>
      </c>
      <c r="V14" s="1531">
        <v>14</v>
      </c>
    </row>
    <row r="15" spans="1:22" ht="14.65" customHeight="1">
      <c r="A15" s="1531"/>
      <c r="C15" s="1440"/>
      <c r="D15" s="4016"/>
      <c r="E15" s="4018"/>
      <c r="F15" s="339"/>
      <c r="G15" s="797"/>
      <c r="H15" s="797" t="s">
        <v>591</v>
      </c>
      <c r="I15" s="248"/>
      <c r="J15" s="3936"/>
      <c r="K15" s="1531"/>
      <c r="R15" s="434"/>
      <c r="S15" s="434"/>
      <c r="V15" s="1531">
        <v>14</v>
      </c>
    </row>
    <row r="16" spans="1:22" ht="14.65" customHeight="1">
      <c r="A16" s="1531"/>
      <c r="C16" s="1440"/>
      <c r="D16" s="339"/>
      <c r="E16" s="797" t="s">
        <v>193</v>
      </c>
      <c r="F16" s="248"/>
      <c r="G16" s="248"/>
      <c r="H16" s="340"/>
      <c r="I16" s="340"/>
      <c r="J16" s="3937"/>
      <c r="K16" s="1531"/>
      <c r="V16" s="1531">
        <v>14</v>
      </c>
    </row>
    <row r="17" spans="1:22" ht="14.65" customHeight="1">
      <c r="K17" s="1531"/>
      <c r="V17" s="1531">
        <v>14</v>
      </c>
    </row>
    <row r="18" spans="1:22" ht="22.5" hidden="1" customHeight="1">
      <c r="A18" s="1532" t="s">
        <v>69</v>
      </c>
      <c r="B18" s="1531">
        <v>0</v>
      </c>
      <c r="C18" s="385">
        <v>3</v>
      </c>
      <c r="D18" s="1531">
        <v>5</v>
      </c>
      <c r="E18" s="1531">
        <v>38</v>
      </c>
      <c r="F18" s="1531">
        <v>3</v>
      </c>
      <c r="G18" s="1531">
        <v>3</v>
      </c>
      <c r="H18" s="1531">
        <v>38</v>
      </c>
      <c r="I18" s="1531">
        <v>35</v>
      </c>
      <c r="J18" s="1531">
        <v>103</v>
      </c>
      <c r="K18" s="1533">
        <v>3</v>
      </c>
      <c r="L18" s="1538">
        <v>10</v>
      </c>
      <c r="M18" s="1538">
        <v>10</v>
      </c>
      <c r="N18" s="1538">
        <v>10</v>
      </c>
      <c r="O18" s="1538">
        <v>13</v>
      </c>
      <c r="P18" s="1538">
        <v>15</v>
      </c>
      <c r="Q18" s="1538">
        <v>16</v>
      </c>
      <c r="R18" s="1538">
        <v>10</v>
      </c>
      <c r="S18" s="1538">
        <v>10</v>
      </c>
      <c r="T18" s="1538">
        <v>10</v>
      </c>
      <c r="U18" s="1538">
        <v>10</v>
      </c>
      <c r="V18" s="153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3" t="s">
        <v>3819</v>
      </c>
      <c r="B1" s="763" t="s">
        <v>3821</v>
      </c>
    </row>
    <row r="2" spans="1:2" ht="11.25" customHeight="1">
      <c r="A2" s="763" t="s">
        <v>3822</v>
      </c>
      <c r="B2" s="763" t="s">
        <v>1709</v>
      </c>
    </row>
    <row r="3" spans="1:2" ht="11.25" customHeight="1">
      <c r="A3" s="763" t="s">
        <v>3823</v>
      </c>
      <c r="B3" s="763" t="s">
        <v>1718</v>
      </c>
    </row>
    <row r="4" spans="1:2" ht="11.25" customHeight="1">
      <c r="A4" s="763" t="s">
        <v>3824</v>
      </c>
      <c r="B4" s="763" t="s">
        <v>1726</v>
      </c>
    </row>
    <row r="5" spans="1:2" ht="11.25" customHeight="1">
      <c r="A5" s="763" t="s">
        <v>3825</v>
      </c>
      <c r="B5" s="763" t="s">
        <v>1735</v>
      </c>
    </row>
    <row r="6" spans="1:2" ht="11.25" customHeight="1">
      <c r="A6" s="763" t="s">
        <v>3826</v>
      </c>
      <c r="B6" s="763" t="s">
        <v>1740</v>
      </c>
    </row>
    <row r="7" spans="1:2" ht="11.25" customHeight="1">
      <c r="A7" s="763" t="s">
        <v>3827</v>
      </c>
      <c r="B7" s="763" t="s">
        <v>1747</v>
      </c>
    </row>
    <row r="8" spans="1:2" ht="11.25" customHeight="1">
      <c r="A8" s="763" t="s">
        <v>3828</v>
      </c>
      <c r="B8" s="763" t="s">
        <v>1753</v>
      </c>
    </row>
    <row r="9" spans="1:2" ht="11.25" customHeight="1">
      <c r="A9" s="763" t="s">
        <v>3829</v>
      </c>
      <c r="B9" s="763" t="s">
        <v>1758</v>
      </c>
    </row>
    <row r="10" spans="1:2" ht="11.25" customHeight="1">
      <c r="A10" s="763" t="s">
        <v>3830</v>
      </c>
      <c r="B10" s="763" t="s">
        <v>1761</v>
      </c>
    </row>
    <row r="11" spans="1:2" ht="11.25" customHeight="1">
      <c r="A11" s="763" t="s">
        <v>3831</v>
      </c>
      <c r="B11" s="763" t="s">
        <v>1767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8"/>
  <sheetViews>
    <sheetView showGridLines="0" workbookViewId="0"/>
  </sheetViews>
  <sheetFormatPr defaultRowHeight="11.25" customHeight="1"/>
  <sheetData>
    <row r="1" spans="1:7" ht="11.25" customHeight="1">
      <c r="A1" s="307" t="s">
        <v>3230</v>
      </c>
      <c r="B1" s="307" t="s">
        <v>3231</v>
      </c>
      <c r="C1" s="307" t="s">
        <v>3232</v>
      </c>
      <c r="D1" s="307" t="s">
        <v>3233</v>
      </c>
      <c r="E1" t="s">
        <v>3234</v>
      </c>
      <c r="F1" t="s">
        <v>3235</v>
      </c>
      <c r="G1" t="s">
        <v>3236</v>
      </c>
    </row>
    <row r="2" spans="1:7" ht="11.25" customHeight="1">
      <c r="A2" t="s">
        <v>3</v>
      </c>
      <c r="B2" t="s">
        <v>3237</v>
      </c>
      <c r="C2" t="s">
        <v>3238</v>
      </c>
      <c r="D2" t="s">
        <v>3237</v>
      </c>
      <c r="E2" t="s">
        <v>3238</v>
      </c>
      <c r="F2" t="s">
        <v>3239</v>
      </c>
      <c r="G2" t="s">
        <v>184</v>
      </c>
    </row>
    <row r="3" spans="1:7" ht="11.25" customHeight="1">
      <c r="A3" t="s">
        <v>3</v>
      </c>
      <c r="B3" t="s">
        <v>3240</v>
      </c>
      <c r="C3" t="s">
        <v>3241</v>
      </c>
      <c r="D3" t="s">
        <v>3240</v>
      </c>
      <c r="E3" t="s">
        <v>3241</v>
      </c>
      <c r="F3" t="s">
        <v>3242</v>
      </c>
      <c r="G3" t="s">
        <v>89</v>
      </c>
    </row>
    <row r="4" spans="1:7" ht="11.25" customHeight="1">
      <c r="A4" t="s">
        <v>3</v>
      </c>
      <c r="B4" t="s">
        <v>3240</v>
      </c>
      <c r="C4" t="s">
        <v>3241</v>
      </c>
      <c r="D4" t="s">
        <v>3243</v>
      </c>
      <c r="E4" t="s">
        <v>3244</v>
      </c>
      <c r="F4" t="s">
        <v>3245</v>
      </c>
      <c r="G4" t="s">
        <v>77</v>
      </c>
    </row>
    <row r="5" spans="1:7" ht="11.25" customHeight="1">
      <c r="A5" t="s">
        <v>3</v>
      </c>
      <c r="B5" t="s">
        <v>3240</v>
      </c>
      <c r="C5" t="s">
        <v>3241</v>
      </c>
      <c r="D5" t="s">
        <v>3246</v>
      </c>
      <c r="E5" t="s">
        <v>3247</v>
      </c>
      <c r="F5" t="s">
        <v>3248</v>
      </c>
      <c r="G5" t="s">
        <v>78</v>
      </c>
    </row>
    <row r="6" spans="1:7" ht="11.25" customHeight="1">
      <c r="A6" t="s">
        <v>3</v>
      </c>
      <c r="B6" t="s">
        <v>3240</v>
      </c>
      <c r="C6" t="s">
        <v>3241</v>
      </c>
      <c r="D6" t="s">
        <v>3249</v>
      </c>
      <c r="E6" t="s">
        <v>3250</v>
      </c>
      <c r="F6" t="s">
        <v>3248</v>
      </c>
      <c r="G6" t="s">
        <v>115</v>
      </c>
    </row>
    <row r="7" spans="1:7" ht="11.25" customHeight="1">
      <c r="A7" t="s">
        <v>3</v>
      </c>
      <c r="B7" t="s">
        <v>3240</v>
      </c>
      <c r="C7" t="s">
        <v>3241</v>
      </c>
      <c r="D7" t="s">
        <v>3251</v>
      </c>
      <c r="E7" t="s">
        <v>3252</v>
      </c>
      <c r="F7" t="s">
        <v>3248</v>
      </c>
      <c r="G7" t="s">
        <v>79</v>
      </c>
    </row>
    <row r="8" spans="1:7" ht="11.25" customHeight="1">
      <c r="A8" t="s">
        <v>3</v>
      </c>
      <c r="B8" t="s">
        <v>86</v>
      </c>
      <c r="C8" t="s">
        <v>87</v>
      </c>
      <c r="D8" t="s">
        <v>86</v>
      </c>
      <c r="E8" t="s">
        <v>87</v>
      </c>
      <c r="F8" t="s">
        <v>3239</v>
      </c>
      <c r="G8" t="s">
        <v>80</v>
      </c>
    </row>
    <row r="9" spans="1:7" ht="11.25" customHeight="1">
      <c r="A9" t="s">
        <v>3</v>
      </c>
      <c r="B9" t="s">
        <v>3253</v>
      </c>
      <c r="C9" t="s">
        <v>3254</v>
      </c>
      <c r="D9" t="s">
        <v>3255</v>
      </c>
      <c r="E9" t="s">
        <v>3256</v>
      </c>
      <c r="F9" t="s">
        <v>3248</v>
      </c>
      <c r="G9" t="s">
        <v>134</v>
      </c>
    </row>
    <row r="10" spans="1:7" ht="11.25" customHeight="1">
      <c r="A10" t="s">
        <v>3</v>
      </c>
      <c r="B10" t="s">
        <v>3253</v>
      </c>
      <c r="C10" t="s">
        <v>3254</v>
      </c>
      <c r="D10" t="s">
        <v>3253</v>
      </c>
      <c r="E10" t="s">
        <v>3254</v>
      </c>
      <c r="F10" t="s">
        <v>3242</v>
      </c>
      <c r="G10" t="s">
        <v>136</v>
      </c>
    </row>
    <row r="11" spans="1:7" ht="11.25" customHeight="1">
      <c r="A11" t="s">
        <v>3</v>
      </c>
      <c r="B11" t="s">
        <v>3253</v>
      </c>
      <c r="C11" t="s">
        <v>3254</v>
      </c>
      <c r="D11" t="s">
        <v>3257</v>
      </c>
      <c r="E11" t="s">
        <v>3258</v>
      </c>
      <c r="F11" t="s">
        <v>3245</v>
      </c>
      <c r="G11" t="s">
        <v>141</v>
      </c>
    </row>
    <row r="12" spans="1:7" ht="11.25" customHeight="1">
      <c r="A12" t="s">
        <v>3</v>
      </c>
      <c r="B12" t="s">
        <v>3253</v>
      </c>
      <c r="C12" t="s">
        <v>3254</v>
      </c>
      <c r="D12" t="s">
        <v>3259</v>
      </c>
      <c r="E12" t="s">
        <v>3260</v>
      </c>
      <c r="F12" t="s">
        <v>3248</v>
      </c>
      <c r="G12" t="s">
        <v>146</v>
      </c>
    </row>
    <row r="13" spans="1:7" ht="11.25" customHeight="1">
      <c r="A13" t="s">
        <v>3</v>
      </c>
      <c r="B13" t="s">
        <v>3253</v>
      </c>
      <c r="C13" t="s">
        <v>3254</v>
      </c>
      <c r="D13" t="s">
        <v>3261</v>
      </c>
      <c r="E13" t="s">
        <v>3262</v>
      </c>
      <c r="F13" t="s">
        <v>3248</v>
      </c>
      <c r="G13" t="s">
        <v>151</v>
      </c>
    </row>
    <row r="14" spans="1:7" ht="11.25" customHeight="1">
      <c r="A14" t="s">
        <v>3</v>
      </c>
      <c r="B14" t="s">
        <v>3253</v>
      </c>
      <c r="C14" t="s">
        <v>3254</v>
      </c>
      <c r="D14" t="s">
        <v>3263</v>
      </c>
      <c r="E14" t="s">
        <v>3264</v>
      </c>
      <c r="F14" t="s">
        <v>3248</v>
      </c>
      <c r="G14" t="s">
        <v>153</v>
      </c>
    </row>
    <row r="15" spans="1:7" ht="11.25" customHeight="1">
      <c r="A15" t="s">
        <v>3</v>
      </c>
      <c r="B15" t="s">
        <v>3253</v>
      </c>
      <c r="C15" t="s">
        <v>3254</v>
      </c>
      <c r="D15" t="s">
        <v>3265</v>
      </c>
      <c r="E15" t="s">
        <v>3266</v>
      </c>
      <c r="F15" t="s">
        <v>3248</v>
      </c>
      <c r="G15" t="s">
        <v>155</v>
      </c>
    </row>
    <row r="16" spans="1:7" ht="11.25" customHeight="1">
      <c r="A16" t="s">
        <v>3</v>
      </c>
      <c r="B16" t="s">
        <v>3253</v>
      </c>
      <c r="C16" t="s">
        <v>3254</v>
      </c>
      <c r="D16" t="s">
        <v>3267</v>
      </c>
      <c r="E16" t="s">
        <v>3268</v>
      </c>
      <c r="F16" t="s">
        <v>3248</v>
      </c>
      <c r="G16" t="s">
        <v>157</v>
      </c>
    </row>
    <row r="17" spans="1:7" ht="11.25" customHeight="1">
      <c r="A17" t="s">
        <v>3</v>
      </c>
      <c r="B17" t="s">
        <v>3253</v>
      </c>
      <c r="C17" t="s">
        <v>3254</v>
      </c>
      <c r="D17" t="s">
        <v>3269</v>
      </c>
      <c r="E17" t="s">
        <v>3270</v>
      </c>
      <c r="F17" t="s">
        <v>3248</v>
      </c>
      <c r="G17" t="s">
        <v>159</v>
      </c>
    </row>
    <row r="18" spans="1:7" ht="11.25" customHeight="1">
      <c r="A18" t="s">
        <v>3</v>
      </c>
      <c r="B18" t="s">
        <v>93</v>
      </c>
      <c r="C18" t="s">
        <v>94</v>
      </c>
      <c r="D18" t="s">
        <v>93</v>
      </c>
      <c r="E18" t="s">
        <v>94</v>
      </c>
      <c r="F18" t="s">
        <v>3239</v>
      </c>
      <c r="G18" t="s">
        <v>92</v>
      </c>
    </row>
    <row r="19" spans="1:7" ht="11.25" customHeight="1">
      <c r="A19" t="s">
        <v>3</v>
      </c>
      <c r="B19" t="s">
        <v>3271</v>
      </c>
      <c r="C19" t="s">
        <v>3272</v>
      </c>
      <c r="D19" t="s">
        <v>3271</v>
      </c>
      <c r="E19" t="s">
        <v>3272</v>
      </c>
      <c r="F19" t="s">
        <v>3242</v>
      </c>
      <c r="G19" t="s">
        <v>162</v>
      </c>
    </row>
    <row r="20" spans="1:7" ht="11.25" customHeight="1">
      <c r="A20" t="s">
        <v>3</v>
      </c>
      <c r="B20" t="s">
        <v>3271</v>
      </c>
      <c r="C20" t="s">
        <v>3272</v>
      </c>
      <c r="D20" t="s">
        <v>3273</v>
      </c>
      <c r="E20" t="s">
        <v>3274</v>
      </c>
      <c r="F20" t="s">
        <v>3245</v>
      </c>
      <c r="G20" t="s">
        <v>164</v>
      </c>
    </row>
    <row r="21" spans="1:7" ht="11.25" customHeight="1">
      <c r="A21" t="s">
        <v>3</v>
      </c>
      <c r="B21" t="s">
        <v>3271</v>
      </c>
      <c r="C21" t="s">
        <v>3272</v>
      </c>
      <c r="D21" t="s">
        <v>3275</v>
      </c>
      <c r="E21" t="s">
        <v>3276</v>
      </c>
      <c r="F21" t="s">
        <v>3248</v>
      </c>
      <c r="G21" t="s">
        <v>166</v>
      </c>
    </row>
    <row r="22" spans="1:7" ht="11.25" customHeight="1">
      <c r="A22" t="s">
        <v>3</v>
      </c>
      <c r="B22" t="s">
        <v>3271</v>
      </c>
      <c r="C22" t="s">
        <v>3272</v>
      </c>
      <c r="D22" t="s">
        <v>3277</v>
      </c>
      <c r="E22" t="s">
        <v>3278</v>
      </c>
      <c r="F22" t="s">
        <v>3248</v>
      </c>
      <c r="G22" t="s">
        <v>168</v>
      </c>
    </row>
    <row r="23" spans="1:7" ht="11.25" customHeight="1">
      <c r="A23" t="s">
        <v>3</v>
      </c>
      <c r="B23" t="s">
        <v>3271</v>
      </c>
      <c r="C23" t="s">
        <v>3272</v>
      </c>
      <c r="D23" t="s">
        <v>3279</v>
      </c>
      <c r="E23" t="s">
        <v>3280</v>
      </c>
      <c r="F23" t="s">
        <v>3248</v>
      </c>
      <c r="G23" t="s">
        <v>170</v>
      </c>
    </row>
    <row r="24" spans="1:7" ht="11.25" customHeight="1">
      <c r="A24" t="s">
        <v>3</v>
      </c>
      <c r="B24" t="s">
        <v>3281</v>
      </c>
      <c r="C24" t="s">
        <v>3282</v>
      </c>
      <c r="D24" t="s">
        <v>3281</v>
      </c>
      <c r="E24" t="s">
        <v>3282</v>
      </c>
      <c r="F24" t="s">
        <v>3239</v>
      </c>
      <c r="G24" t="s">
        <v>172</v>
      </c>
    </row>
    <row r="25" spans="1:7" ht="11.25" customHeight="1">
      <c r="A25" t="s">
        <v>3</v>
      </c>
      <c r="B25" t="s">
        <v>3283</v>
      </c>
      <c r="C25" t="s">
        <v>3284</v>
      </c>
      <c r="D25" t="s">
        <v>3285</v>
      </c>
      <c r="E25" t="s">
        <v>3286</v>
      </c>
      <c r="F25" t="s">
        <v>3248</v>
      </c>
      <c r="G25" t="s">
        <v>659</v>
      </c>
    </row>
    <row r="26" spans="1:7" ht="11.25" customHeight="1">
      <c r="A26" t="s">
        <v>3</v>
      </c>
      <c r="B26" t="s">
        <v>3283</v>
      </c>
      <c r="C26" t="s">
        <v>3284</v>
      </c>
      <c r="D26" t="s">
        <v>3283</v>
      </c>
      <c r="E26" t="s">
        <v>3284</v>
      </c>
      <c r="F26" t="s">
        <v>3242</v>
      </c>
      <c r="G26" t="s">
        <v>658</v>
      </c>
    </row>
    <row r="27" spans="1:7" ht="11.25" customHeight="1">
      <c r="A27" t="s">
        <v>3</v>
      </c>
      <c r="B27" t="s">
        <v>3283</v>
      </c>
      <c r="C27" t="s">
        <v>3284</v>
      </c>
      <c r="D27" t="s">
        <v>3287</v>
      </c>
      <c r="E27" t="s">
        <v>3288</v>
      </c>
      <c r="F27" t="s">
        <v>3248</v>
      </c>
      <c r="G27" t="s">
        <v>660</v>
      </c>
    </row>
    <row r="28" spans="1:7" ht="11.25" customHeight="1">
      <c r="A28" t="s">
        <v>3</v>
      </c>
      <c r="B28" t="s">
        <v>3283</v>
      </c>
      <c r="C28" t="s">
        <v>3284</v>
      </c>
      <c r="D28" t="s">
        <v>3289</v>
      </c>
      <c r="E28" t="s">
        <v>3290</v>
      </c>
      <c r="F28" t="s">
        <v>3248</v>
      </c>
      <c r="G28" t="s">
        <v>1771</v>
      </c>
    </row>
    <row r="29" spans="1:7" ht="11.25" customHeight="1">
      <c r="A29" t="s">
        <v>3</v>
      </c>
      <c r="B29" t="s">
        <v>3291</v>
      </c>
      <c r="C29" t="s">
        <v>3292</v>
      </c>
      <c r="D29" t="s">
        <v>3291</v>
      </c>
      <c r="E29" t="s">
        <v>3292</v>
      </c>
      <c r="F29" t="s">
        <v>3293</v>
      </c>
      <c r="G29" t="s">
        <v>1773</v>
      </c>
    </row>
    <row r="30" spans="1:7" ht="11.25" customHeight="1">
      <c r="A30" t="s">
        <v>3</v>
      </c>
      <c r="B30" t="s">
        <v>3294</v>
      </c>
      <c r="C30" t="s">
        <v>3295</v>
      </c>
      <c r="D30" t="s">
        <v>3294</v>
      </c>
      <c r="E30" t="s">
        <v>3295</v>
      </c>
      <c r="F30" t="s">
        <v>3293</v>
      </c>
      <c r="G30" t="s">
        <v>1776</v>
      </c>
    </row>
    <row r="31" spans="1:7" ht="11.25" customHeight="1">
      <c r="A31" t="s">
        <v>3</v>
      </c>
      <c r="B31" t="s">
        <v>3296</v>
      </c>
      <c r="C31" t="s">
        <v>3297</v>
      </c>
      <c r="D31" t="s">
        <v>3296</v>
      </c>
      <c r="E31" t="s">
        <v>3297</v>
      </c>
      <c r="F31" t="s">
        <v>3239</v>
      </c>
      <c r="G31" t="s">
        <v>1782</v>
      </c>
    </row>
    <row r="32" spans="1:7" ht="11.25" customHeight="1">
      <c r="A32" t="s">
        <v>3</v>
      </c>
      <c r="B32" t="s">
        <v>3298</v>
      </c>
      <c r="C32" t="s">
        <v>3299</v>
      </c>
      <c r="D32" t="s">
        <v>3300</v>
      </c>
      <c r="E32" t="s">
        <v>3301</v>
      </c>
      <c r="F32" t="s">
        <v>3248</v>
      </c>
      <c r="G32" t="s">
        <v>1784</v>
      </c>
    </row>
    <row r="33" spans="1:7" ht="11.25" customHeight="1">
      <c r="A33" t="s">
        <v>3</v>
      </c>
      <c r="B33" t="s">
        <v>3298</v>
      </c>
      <c r="C33" t="s">
        <v>3299</v>
      </c>
      <c r="D33" t="s">
        <v>3298</v>
      </c>
      <c r="E33" t="s">
        <v>3299</v>
      </c>
      <c r="F33" t="s">
        <v>3242</v>
      </c>
      <c r="G33" t="s">
        <v>1786</v>
      </c>
    </row>
    <row r="34" spans="1:7" ht="11.25" customHeight="1">
      <c r="A34" t="s">
        <v>3</v>
      </c>
      <c r="B34" t="s">
        <v>3298</v>
      </c>
      <c r="C34" t="s">
        <v>3299</v>
      </c>
      <c r="D34" t="s">
        <v>3302</v>
      </c>
      <c r="E34" t="s">
        <v>3303</v>
      </c>
      <c r="F34" t="s">
        <v>3245</v>
      </c>
      <c r="G34" t="s">
        <v>1788</v>
      </c>
    </row>
    <row r="35" spans="1:7" ht="11.25" customHeight="1">
      <c r="A35" t="s">
        <v>3</v>
      </c>
      <c r="B35" t="s">
        <v>3298</v>
      </c>
      <c r="C35" t="s">
        <v>3299</v>
      </c>
      <c r="D35" t="s">
        <v>3304</v>
      </c>
      <c r="E35" t="s">
        <v>3305</v>
      </c>
      <c r="F35" t="s">
        <v>3248</v>
      </c>
      <c r="G35" t="s">
        <v>1793</v>
      </c>
    </row>
    <row r="36" spans="1:7" ht="11.25" customHeight="1">
      <c r="A36" t="s">
        <v>3</v>
      </c>
      <c r="B36" t="s">
        <v>3298</v>
      </c>
      <c r="C36" t="s">
        <v>3299</v>
      </c>
      <c r="D36" t="s">
        <v>3306</v>
      </c>
      <c r="E36" t="s">
        <v>3307</v>
      </c>
      <c r="F36" t="s">
        <v>3308</v>
      </c>
      <c r="G36" t="s">
        <v>1798</v>
      </c>
    </row>
    <row r="37" spans="1:7" ht="11.25" customHeight="1">
      <c r="A37" t="s">
        <v>3</v>
      </c>
      <c r="B37" t="s">
        <v>3298</v>
      </c>
      <c r="C37" t="s">
        <v>3299</v>
      </c>
      <c r="D37" t="s">
        <v>3309</v>
      </c>
      <c r="E37" t="s">
        <v>3310</v>
      </c>
      <c r="F37" t="s">
        <v>3248</v>
      </c>
      <c r="G37" t="s">
        <v>1802</v>
      </c>
    </row>
    <row r="38" spans="1:7" ht="11.25" customHeight="1">
      <c r="A38" t="s">
        <v>3</v>
      </c>
      <c r="B38" t="s">
        <v>3298</v>
      </c>
      <c r="C38" t="s">
        <v>3299</v>
      </c>
      <c r="D38" t="s">
        <v>3311</v>
      </c>
      <c r="E38" t="s">
        <v>3312</v>
      </c>
      <c r="F38" t="s">
        <v>3248</v>
      </c>
      <c r="G38" t="s">
        <v>1810</v>
      </c>
    </row>
    <row r="39" spans="1:7" ht="11.25" customHeight="1">
      <c r="A39" t="s">
        <v>3</v>
      </c>
      <c r="B39" t="s">
        <v>132</v>
      </c>
      <c r="C39" t="s">
        <v>133</v>
      </c>
      <c r="D39" t="s">
        <v>132</v>
      </c>
      <c r="E39" t="s">
        <v>133</v>
      </c>
      <c r="F39" t="s">
        <v>3239</v>
      </c>
      <c r="G39" t="s">
        <v>131</v>
      </c>
    </row>
    <row r="40" spans="1:7" ht="11.25" customHeight="1">
      <c r="A40" t="s">
        <v>3</v>
      </c>
      <c r="B40" t="s">
        <v>3313</v>
      </c>
      <c r="C40" t="s">
        <v>3314</v>
      </c>
      <c r="D40" t="s">
        <v>3315</v>
      </c>
      <c r="E40" t="s">
        <v>3316</v>
      </c>
      <c r="F40" t="s">
        <v>3248</v>
      </c>
      <c r="G40" t="s">
        <v>1820</v>
      </c>
    </row>
    <row r="41" spans="1:7" ht="11.25" customHeight="1">
      <c r="A41" t="s">
        <v>3</v>
      </c>
      <c r="B41" t="s">
        <v>3313</v>
      </c>
      <c r="C41" t="s">
        <v>3314</v>
      </c>
      <c r="D41" t="s">
        <v>3317</v>
      </c>
      <c r="E41" t="s">
        <v>3318</v>
      </c>
      <c r="F41" t="s">
        <v>3308</v>
      </c>
      <c r="G41" t="s">
        <v>1824</v>
      </c>
    </row>
    <row r="42" spans="1:7" ht="11.25" customHeight="1">
      <c r="A42" t="s">
        <v>3</v>
      </c>
      <c r="B42" t="s">
        <v>3313</v>
      </c>
      <c r="C42" t="s">
        <v>3314</v>
      </c>
      <c r="D42" t="s">
        <v>3313</v>
      </c>
      <c r="E42" t="s">
        <v>3314</v>
      </c>
      <c r="F42" t="s">
        <v>3242</v>
      </c>
      <c r="G42" t="s">
        <v>1827</v>
      </c>
    </row>
    <row r="43" spans="1:7" ht="11.25" customHeight="1">
      <c r="A43" t="s">
        <v>3</v>
      </c>
      <c r="B43" t="s">
        <v>3313</v>
      </c>
      <c r="C43" t="s">
        <v>3314</v>
      </c>
      <c r="D43" t="s">
        <v>3319</v>
      </c>
      <c r="E43" t="s">
        <v>3320</v>
      </c>
      <c r="F43" t="s">
        <v>3245</v>
      </c>
      <c r="G43" t="s">
        <v>1834</v>
      </c>
    </row>
    <row r="44" spans="1:7" ht="11.25" customHeight="1">
      <c r="A44" t="s">
        <v>3</v>
      </c>
      <c r="B44" t="s">
        <v>3313</v>
      </c>
      <c r="C44" t="s">
        <v>3314</v>
      </c>
      <c r="D44" t="s">
        <v>3321</v>
      </c>
      <c r="E44" t="s">
        <v>3322</v>
      </c>
      <c r="F44" t="s">
        <v>3248</v>
      </c>
      <c r="G44" t="s">
        <v>1843</v>
      </c>
    </row>
    <row r="45" spans="1:7" ht="11.25" customHeight="1">
      <c r="A45" t="s">
        <v>3</v>
      </c>
      <c r="B45" t="s">
        <v>3313</v>
      </c>
      <c r="C45" t="s">
        <v>3314</v>
      </c>
      <c r="D45" t="s">
        <v>3323</v>
      </c>
      <c r="E45" t="s">
        <v>3324</v>
      </c>
      <c r="F45" t="s">
        <v>3248</v>
      </c>
      <c r="G45" t="s">
        <v>1848</v>
      </c>
    </row>
    <row r="46" spans="1:7" ht="11.25" customHeight="1">
      <c r="A46" t="s">
        <v>3</v>
      </c>
      <c r="B46" t="s">
        <v>121</v>
      </c>
      <c r="C46" t="s">
        <v>122</v>
      </c>
      <c r="D46" t="s">
        <v>121</v>
      </c>
      <c r="E46" t="s">
        <v>122</v>
      </c>
      <c r="F46" t="s">
        <v>3239</v>
      </c>
      <c r="G46" t="s">
        <v>120</v>
      </c>
    </row>
    <row r="47" spans="1:7" ht="11.25" customHeight="1">
      <c r="A47" t="s">
        <v>3</v>
      </c>
      <c r="B47" t="s">
        <v>3325</v>
      </c>
      <c r="C47" t="s">
        <v>3326</v>
      </c>
      <c r="D47" t="s">
        <v>3327</v>
      </c>
      <c r="E47" t="s">
        <v>3328</v>
      </c>
      <c r="F47" t="s">
        <v>3248</v>
      </c>
      <c r="G47" t="s">
        <v>1857</v>
      </c>
    </row>
    <row r="48" spans="1:7" ht="11.25" customHeight="1">
      <c r="A48" t="s">
        <v>3</v>
      </c>
      <c r="B48" t="s">
        <v>3325</v>
      </c>
      <c r="C48" t="s">
        <v>3326</v>
      </c>
      <c r="D48" t="s">
        <v>3325</v>
      </c>
      <c r="E48" t="s">
        <v>3326</v>
      </c>
      <c r="F48" t="s">
        <v>3242</v>
      </c>
      <c r="G48" t="s">
        <v>1862</v>
      </c>
    </row>
    <row r="49" spans="1:7" ht="11.25" customHeight="1">
      <c r="A49" t="s">
        <v>3</v>
      </c>
      <c r="B49" t="s">
        <v>3325</v>
      </c>
      <c r="C49" t="s">
        <v>3326</v>
      </c>
      <c r="D49" t="s">
        <v>3329</v>
      </c>
      <c r="E49" t="s">
        <v>3330</v>
      </c>
      <c r="F49" t="s">
        <v>3245</v>
      </c>
      <c r="G49" t="s">
        <v>1865</v>
      </c>
    </row>
    <row r="50" spans="1:7" ht="11.25" customHeight="1">
      <c r="A50" t="s">
        <v>3</v>
      </c>
      <c r="B50" t="s">
        <v>3325</v>
      </c>
      <c r="C50" t="s">
        <v>3326</v>
      </c>
      <c r="D50" t="s">
        <v>3331</v>
      </c>
      <c r="E50" t="s">
        <v>3332</v>
      </c>
      <c r="F50" t="s">
        <v>3308</v>
      </c>
      <c r="G50" t="s">
        <v>1868</v>
      </c>
    </row>
    <row r="51" spans="1:7" ht="11.25" customHeight="1">
      <c r="A51" t="s">
        <v>3</v>
      </c>
      <c r="B51" t="s">
        <v>3325</v>
      </c>
      <c r="C51" t="s">
        <v>3326</v>
      </c>
      <c r="D51" t="s">
        <v>3333</v>
      </c>
      <c r="E51" t="s">
        <v>3334</v>
      </c>
      <c r="F51" t="s">
        <v>3248</v>
      </c>
      <c r="G51" t="s">
        <v>1873</v>
      </c>
    </row>
    <row r="52" spans="1:7" ht="11.25" customHeight="1">
      <c r="A52" t="s">
        <v>3</v>
      </c>
      <c r="B52" t="s">
        <v>3325</v>
      </c>
      <c r="C52" t="s">
        <v>3326</v>
      </c>
      <c r="D52" t="s">
        <v>3335</v>
      </c>
      <c r="E52" t="s">
        <v>3336</v>
      </c>
      <c r="F52" t="s">
        <v>3248</v>
      </c>
      <c r="G52" t="s">
        <v>1877</v>
      </c>
    </row>
    <row r="53" spans="1:7" ht="11.25" customHeight="1">
      <c r="A53" t="s">
        <v>3</v>
      </c>
      <c r="B53" t="s">
        <v>124</v>
      </c>
      <c r="C53" t="s">
        <v>125</v>
      </c>
      <c r="D53" t="s">
        <v>124</v>
      </c>
      <c r="E53" t="s">
        <v>125</v>
      </c>
      <c r="F53" t="s">
        <v>3239</v>
      </c>
      <c r="G53" t="s">
        <v>123</v>
      </c>
    </row>
    <row r="54" spans="1:7" ht="11.25" customHeight="1">
      <c r="A54" t="s">
        <v>3</v>
      </c>
      <c r="B54" t="s">
        <v>3337</v>
      </c>
      <c r="C54" t="s">
        <v>3338</v>
      </c>
      <c r="D54" t="s">
        <v>3339</v>
      </c>
      <c r="E54" t="s">
        <v>3340</v>
      </c>
      <c r="F54" t="s">
        <v>3248</v>
      </c>
      <c r="G54" t="s">
        <v>1881</v>
      </c>
    </row>
    <row r="55" spans="1:7" ht="11.25" customHeight="1">
      <c r="A55" t="s">
        <v>3</v>
      </c>
      <c r="B55" t="s">
        <v>3337</v>
      </c>
      <c r="C55" t="s">
        <v>3338</v>
      </c>
      <c r="D55" t="s">
        <v>3337</v>
      </c>
      <c r="E55" t="s">
        <v>3338</v>
      </c>
      <c r="F55" t="s">
        <v>3242</v>
      </c>
      <c r="G55" t="s">
        <v>1886</v>
      </c>
    </row>
    <row r="56" spans="1:7" ht="11.25" customHeight="1">
      <c r="A56" t="s">
        <v>3</v>
      </c>
      <c r="B56" t="s">
        <v>3337</v>
      </c>
      <c r="C56" t="s">
        <v>3338</v>
      </c>
      <c r="D56" t="s">
        <v>3341</v>
      </c>
      <c r="E56" t="s">
        <v>3342</v>
      </c>
      <c r="F56" t="s">
        <v>3245</v>
      </c>
      <c r="G56" t="s">
        <v>1889</v>
      </c>
    </row>
    <row r="57" spans="1:7" ht="11.25" customHeight="1">
      <c r="A57" t="s">
        <v>3</v>
      </c>
      <c r="B57" t="s">
        <v>3337</v>
      </c>
      <c r="C57" t="s">
        <v>3338</v>
      </c>
      <c r="D57" t="s">
        <v>3343</v>
      </c>
      <c r="E57" t="s">
        <v>3344</v>
      </c>
      <c r="F57" t="s">
        <v>3248</v>
      </c>
      <c r="G57" t="s">
        <v>1892</v>
      </c>
    </row>
    <row r="58" spans="1:7" ht="11.25" customHeight="1">
      <c r="A58" t="s">
        <v>3</v>
      </c>
      <c r="B58" t="s">
        <v>3337</v>
      </c>
      <c r="C58" t="s">
        <v>3338</v>
      </c>
      <c r="D58" t="s">
        <v>3345</v>
      </c>
      <c r="E58" t="s">
        <v>3346</v>
      </c>
      <c r="F58" t="s">
        <v>3248</v>
      </c>
      <c r="G58" t="s">
        <v>1895</v>
      </c>
    </row>
    <row r="59" spans="1:7" ht="11.25" customHeight="1">
      <c r="A59" t="s">
        <v>3</v>
      </c>
      <c r="B59" t="s">
        <v>109</v>
      </c>
      <c r="C59" t="s">
        <v>110</v>
      </c>
      <c r="D59" t="s">
        <v>109</v>
      </c>
      <c r="E59" t="s">
        <v>110</v>
      </c>
      <c r="F59" t="s">
        <v>3239</v>
      </c>
      <c r="G59" t="s">
        <v>108</v>
      </c>
    </row>
    <row r="60" spans="1:7" ht="11.25" customHeight="1">
      <c r="A60" t="s">
        <v>3</v>
      </c>
      <c r="B60" t="s">
        <v>3347</v>
      </c>
      <c r="C60" t="s">
        <v>3348</v>
      </c>
      <c r="D60" t="s">
        <v>3349</v>
      </c>
      <c r="E60" t="s">
        <v>3350</v>
      </c>
      <c r="F60" t="s">
        <v>3248</v>
      </c>
      <c r="G60" t="s">
        <v>1902</v>
      </c>
    </row>
    <row r="61" spans="1:7" ht="11.25" customHeight="1">
      <c r="A61" t="s">
        <v>3</v>
      </c>
      <c r="B61" t="s">
        <v>3347</v>
      </c>
      <c r="C61" t="s">
        <v>3348</v>
      </c>
      <c r="D61" t="s">
        <v>3347</v>
      </c>
      <c r="E61" t="s">
        <v>3348</v>
      </c>
      <c r="F61" t="s">
        <v>3242</v>
      </c>
      <c r="G61" t="s">
        <v>3351</v>
      </c>
    </row>
    <row r="62" spans="1:7" ht="11.25" customHeight="1">
      <c r="A62" t="s">
        <v>3</v>
      </c>
      <c r="B62" t="s">
        <v>3347</v>
      </c>
      <c r="C62" t="s">
        <v>3348</v>
      </c>
      <c r="D62" t="s">
        <v>3352</v>
      </c>
      <c r="E62" t="s">
        <v>3353</v>
      </c>
      <c r="F62" t="s">
        <v>3248</v>
      </c>
      <c r="G62" t="s">
        <v>3354</v>
      </c>
    </row>
    <row r="63" spans="1:7" ht="11.25" customHeight="1">
      <c r="A63" t="s">
        <v>3</v>
      </c>
      <c r="B63" t="s">
        <v>3347</v>
      </c>
      <c r="C63" t="s">
        <v>3348</v>
      </c>
      <c r="D63" t="s">
        <v>3355</v>
      </c>
      <c r="E63" t="s">
        <v>3356</v>
      </c>
      <c r="F63" t="s">
        <v>3248</v>
      </c>
      <c r="G63" t="s">
        <v>3357</v>
      </c>
    </row>
    <row r="64" spans="1:7" ht="11.25" customHeight="1">
      <c r="A64" t="s">
        <v>3</v>
      </c>
      <c r="B64" t="s">
        <v>3347</v>
      </c>
      <c r="C64" t="s">
        <v>3348</v>
      </c>
      <c r="D64" t="s">
        <v>3358</v>
      </c>
      <c r="E64" t="s">
        <v>3359</v>
      </c>
      <c r="F64" t="s">
        <v>3248</v>
      </c>
      <c r="G64" t="s">
        <v>3360</v>
      </c>
    </row>
    <row r="65" spans="1:7" ht="11.25" customHeight="1">
      <c r="A65" t="s">
        <v>3</v>
      </c>
      <c r="B65" t="s">
        <v>3361</v>
      </c>
      <c r="C65" t="s">
        <v>3362</v>
      </c>
      <c r="D65" t="s">
        <v>3361</v>
      </c>
      <c r="E65" t="s">
        <v>3362</v>
      </c>
      <c r="F65" t="s">
        <v>3239</v>
      </c>
      <c r="G65" t="s">
        <v>3363</v>
      </c>
    </row>
    <row r="66" spans="1:7" ht="11.25" customHeight="1">
      <c r="A66" t="s">
        <v>3</v>
      </c>
      <c r="B66" t="s">
        <v>3364</v>
      </c>
      <c r="C66" t="s">
        <v>3365</v>
      </c>
      <c r="D66" t="s">
        <v>3366</v>
      </c>
      <c r="E66" t="s">
        <v>3367</v>
      </c>
      <c r="F66" t="s">
        <v>3248</v>
      </c>
      <c r="G66" t="s">
        <v>3368</v>
      </c>
    </row>
    <row r="67" spans="1:7" ht="11.25" customHeight="1">
      <c r="A67" t="s">
        <v>3</v>
      </c>
      <c r="B67" t="s">
        <v>3364</v>
      </c>
      <c r="C67" t="s">
        <v>3365</v>
      </c>
      <c r="D67" t="s">
        <v>3364</v>
      </c>
      <c r="E67" t="s">
        <v>3365</v>
      </c>
      <c r="F67" t="s">
        <v>3242</v>
      </c>
      <c r="G67" t="s">
        <v>2218</v>
      </c>
    </row>
    <row r="68" spans="1:7" ht="11.25" customHeight="1">
      <c r="A68" t="s">
        <v>3</v>
      </c>
      <c r="B68" t="s">
        <v>3364</v>
      </c>
      <c r="C68" t="s">
        <v>3365</v>
      </c>
      <c r="D68" t="s">
        <v>3369</v>
      </c>
      <c r="E68" t="s">
        <v>3370</v>
      </c>
      <c r="F68" t="s">
        <v>3308</v>
      </c>
      <c r="G68" t="s">
        <v>3371</v>
      </c>
    </row>
    <row r="69" spans="1:7" ht="11.25" customHeight="1">
      <c r="A69" t="s">
        <v>3</v>
      </c>
      <c r="B69" t="s">
        <v>3364</v>
      </c>
      <c r="C69" t="s">
        <v>3365</v>
      </c>
      <c r="D69" t="s">
        <v>3372</v>
      </c>
      <c r="E69" t="s">
        <v>3373</v>
      </c>
      <c r="F69" t="s">
        <v>3248</v>
      </c>
      <c r="G69" t="s">
        <v>2421</v>
      </c>
    </row>
    <row r="70" spans="1:7" ht="11.25" customHeight="1">
      <c r="A70" t="s">
        <v>3</v>
      </c>
      <c r="B70" t="s">
        <v>3364</v>
      </c>
      <c r="C70" t="s">
        <v>3365</v>
      </c>
      <c r="D70" t="s">
        <v>3374</v>
      </c>
      <c r="E70" t="s">
        <v>3375</v>
      </c>
      <c r="F70" t="s">
        <v>3248</v>
      </c>
      <c r="G70" t="s">
        <v>3376</v>
      </c>
    </row>
    <row r="71" spans="1:7" ht="11.25" customHeight="1">
      <c r="A71" t="s">
        <v>3</v>
      </c>
      <c r="B71" t="s">
        <v>144</v>
      </c>
      <c r="C71" t="s">
        <v>145</v>
      </c>
      <c r="D71" t="s">
        <v>144</v>
      </c>
      <c r="E71" t="s">
        <v>145</v>
      </c>
      <c r="F71" t="s">
        <v>3239</v>
      </c>
      <c r="G71" t="s">
        <v>143</v>
      </c>
    </row>
    <row r="72" spans="1:7" ht="11.25" customHeight="1">
      <c r="A72" t="s">
        <v>3</v>
      </c>
      <c r="B72" t="s">
        <v>3377</v>
      </c>
      <c r="C72" t="s">
        <v>3378</v>
      </c>
      <c r="D72" t="s">
        <v>3379</v>
      </c>
      <c r="E72" t="s">
        <v>3380</v>
      </c>
      <c r="F72" t="s">
        <v>3248</v>
      </c>
      <c r="G72" t="s">
        <v>3381</v>
      </c>
    </row>
    <row r="73" spans="1:7" ht="11.25" customHeight="1">
      <c r="A73" t="s">
        <v>3</v>
      </c>
      <c r="B73" t="s">
        <v>3377</v>
      </c>
      <c r="C73" t="s">
        <v>3378</v>
      </c>
      <c r="D73" t="s">
        <v>3377</v>
      </c>
      <c r="E73" t="s">
        <v>3378</v>
      </c>
      <c r="F73" t="s">
        <v>3242</v>
      </c>
      <c r="G73" t="s">
        <v>3382</v>
      </c>
    </row>
    <row r="74" spans="1:7" ht="11.25" customHeight="1">
      <c r="A74" t="s">
        <v>3</v>
      </c>
      <c r="B74" t="s">
        <v>3377</v>
      </c>
      <c r="C74" t="s">
        <v>3378</v>
      </c>
      <c r="D74" t="s">
        <v>3383</v>
      </c>
      <c r="E74" t="s">
        <v>3384</v>
      </c>
      <c r="F74" t="s">
        <v>3308</v>
      </c>
      <c r="G74" t="s">
        <v>3385</v>
      </c>
    </row>
    <row r="75" spans="1:7" ht="11.25" customHeight="1">
      <c r="A75" t="s">
        <v>3</v>
      </c>
      <c r="B75" t="s">
        <v>3377</v>
      </c>
      <c r="C75" t="s">
        <v>3378</v>
      </c>
      <c r="D75" t="s">
        <v>3386</v>
      </c>
      <c r="E75" t="s">
        <v>3387</v>
      </c>
      <c r="F75" t="s">
        <v>3248</v>
      </c>
      <c r="G75" t="s">
        <v>3388</v>
      </c>
    </row>
    <row r="76" spans="1:7" ht="11.25" customHeight="1">
      <c r="A76" t="s">
        <v>3</v>
      </c>
      <c r="B76" t="s">
        <v>3377</v>
      </c>
      <c r="C76" t="s">
        <v>3378</v>
      </c>
      <c r="D76" t="s">
        <v>3389</v>
      </c>
      <c r="E76" t="s">
        <v>3390</v>
      </c>
      <c r="F76" t="s">
        <v>3248</v>
      </c>
      <c r="G76" t="s">
        <v>3391</v>
      </c>
    </row>
    <row r="77" spans="1:7" ht="11.25" customHeight="1">
      <c r="A77" t="s">
        <v>3</v>
      </c>
      <c r="B77" t="s">
        <v>3392</v>
      </c>
      <c r="C77" t="s">
        <v>3393</v>
      </c>
      <c r="D77" t="s">
        <v>3392</v>
      </c>
      <c r="E77" t="s">
        <v>3393</v>
      </c>
      <c r="F77" t="s">
        <v>3239</v>
      </c>
      <c r="G77" t="s">
        <v>3394</v>
      </c>
    </row>
    <row r="78" spans="1:7" ht="11.25" customHeight="1">
      <c r="A78" t="s">
        <v>3</v>
      </c>
      <c r="B78" t="s">
        <v>3395</v>
      </c>
      <c r="C78" t="s">
        <v>3396</v>
      </c>
      <c r="D78" t="s">
        <v>3397</v>
      </c>
      <c r="E78" t="s">
        <v>3398</v>
      </c>
      <c r="F78" t="s">
        <v>3248</v>
      </c>
      <c r="G78" t="s">
        <v>3399</v>
      </c>
    </row>
    <row r="79" spans="1:7" ht="11.25" customHeight="1">
      <c r="A79" t="s">
        <v>3</v>
      </c>
      <c r="B79" t="s">
        <v>3395</v>
      </c>
      <c r="C79" t="s">
        <v>3396</v>
      </c>
      <c r="D79" t="s">
        <v>3400</v>
      </c>
      <c r="E79" t="s">
        <v>3401</v>
      </c>
      <c r="F79" t="s">
        <v>3248</v>
      </c>
      <c r="G79" t="s">
        <v>3402</v>
      </c>
    </row>
    <row r="80" spans="1:7" ht="11.25" customHeight="1">
      <c r="A80" t="s">
        <v>3</v>
      </c>
      <c r="B80" t="s">
        <v>3395</v>
      </c>
      <c r="C80" t="s">
        <v>3396</v>
      </c>
      <c r="D80" t="s">
        <v>3403</v>
      </c>
      <c r="E80" t="s">
        <v>3404</v>
      </c>
      <c r="F80" t="s">
        <v>3248</v>
      </c>
      <c r="G80" t="s">
        <v>3405</v>
      </c>
    </row>
    <row r="81" spans="1:7" ht="11.25" customHeight="1">
      <c r="A81" t="s">
        <v>3</v>
      </c>
      <c r="B81" t="s">
        <v>3395</v>
      </c>
      <c r="C81" t="s">
        <v>3396</v>
      </c>
      <c r="D81" t="s">
        <v>3406</v>
      </c>
      <c r="E81" t="s">
        <v>3407</v>
      </c>
      <c r="F81" t="s">
        <v>3308</v>
      </c>
      <c r="G81" t="s">
        <v>3408</v>
      </c>
    </row>
    <row r="82" spans="1:7" ht="11.25" customHeight="1">
      <c r="A82" t="s">
        <v>3</v>
      </c>
      <c r="B82" t="s">
        <v>3395</v>
      </c>
      <c r="C82" t="s">
        <v>3396</v>
      </c>
      <c r="D82" t="s">
        <v>3395</v>
      </c>
      <c r="E82" t="s">
        <v>3396</v>
      </c>
      <c r="F82" t="s">
        <v>3242</v>
      </c>
      <c r="G82" t="s">
        <v>3409</v>
      </c>
    </row>
    <row r="83" spans="1:7" ht="11.25" customHeight="1">
      <c r="A83" t="s">
        <v>3</v>
      </c>
      <c r="B83" t="s">
        <v>3395</v>
      </c>
      <c r="C83" t="s">
        <v>3396</v>
      </c>
      <c r="D83" t="s">
        <v>3410</v>
      </c>
      <c r="E83" t="s">
        <v>3411</v>
      </c>
      <c r="F83" t="s">
        <v>3248</v>
      </c>
      <c r="G83" t="s">
        <v>3412</v>
      </c>
    </row>
    <row r="84" spans="1:7" ht="11.25" customHeight="1">
      <c r="A84" t="s">
        <v>3</v>
      </c>
      <c r="B84" t="s">
        <v>3395</v>
      </c>
      <c r="C84" t="s">
        <v>3396</v>
      </c>
      <c r="D84" t="s">
        <v>3413</v>
      </c>
      <c r="E84" t="s">
        <v>3414</v>
      </c>
      <c r="F84" t="s">
        <v>3248</v>
      </c>
      <c r="G84" t="s">
        <v>3415</v>
      </c>
    </row>
    <row r="85" spans="1:7" ht="11.25" customHeight="1">
      <c r="A85" t="s">
        <v>3</v>
      </c>
      <c r="B85" t="s">
        <v>3395</v>
      </c>
      <c r="C85" t="s">
        <v>3396</v>
      </c>
      <c r="D85" t="s">
        <v>3416</v>
      </c>
      <c r="E85" t="s">
        <v>3417</v>
      </c>
      <c r="F85" t="s">
        <v>3248</v>
      </c>
      <c r="G85" t="s">
        <v>3418</v>
      </c>
    </row>
    <row r="86" spans="1:7" ht="11.25" customHeight="1">
      <c r="A86" t="s">
        <v>3</v>
      </c>
      <c r="B86" t="s">
        <v>96</v>
      </c>
      <c r="C86" t="s">
        <v>97</v>
      </c>
      <c r="D86" t="s">
        <v>96</v>
      </c>
      <c r="E86" t="s">
        <v>97</v>
      </c>
      <c r="F86" t="s">
        <v>3239</v>
      </c>
      <c r="G86" t="s">
        <v>95</v>
      </c>
    </row>
    <row r="87" spans="1:7" ht="11.25" customHeight="1">
      <c r="A87" t="s">
        <v>3</v>
      </c>
      <c r="B87" t="s">
        <v>3419</v>
      </c>
      <c r="C87" t="s">
        <v>3420</v>
      </c>
      <c r="D87" t="s">
        <v>3421</v>
      </c>
      <c r="E87" t="s">
        <v>3422</v>
      </c>
      <c r="F87" t="s">
        <v>3248</v>
      </c>
      <c r="G87" t="s">
        <v>3423</v>
      </c>
    </row>
    <row r="88" spans="1:7" ht="11.25" customHeight="1">
      <c r="A88" t="s">
        <v>3</v>
      </c>
      <c r="B88" t="s">
        <v>3419</v>
      </c>
      <c r="C88" t="s">
        <v>3420</v>
      </c>
      <c r="D88" t="s">
        <v>3424</v>
      </c>
      <c r="E88" t="s">
        <v>3425</v>
      </c>
      <c r="F88" t="s">
        <v>3248</v>
      </c>
      <c r="G88" t="s">
        <v>3426</v>
      </c>
    </row>
    <row r="89" spans="1:7" ht="11.25" customHeight="1">
      <c r="A89" t="s">
        <v>3</v>
      </c>
      <c r="B89" t="s">
        <v>3419</v>
      </c>
      <c r="C89" t="s">
        <v>3420</v>
      </c>
      <c r="D89" t="s">
        <v>3427</v>
      </c>
      <c r="E89" t="s">
        <v>3428</v>
      </c>
      <c r="F89" t="s">
        <v>3248</v>
      </c>
      <c r="G89" t="s">
        <v>3429</v>
      </c>
    </row>
    <row r="90" spans="1:7" ht="11.25" customHeight="1">
      <c r="A90" t="s">
        <v>3</v>
      </c>
      <c r="B90" t="s">
        <v>3419</v>
      </c>
      <c r="C90" t="s">
        <v>3420</v>
      </c>
      <c r="D90" t="s">
        <v>3419</v>
      </c>
      <c r="E90" t="s">
        <v>3420</v>
      </c>
      <c r="F90" t="s">
        <v>3242</v>
      </c>
      <c r="G90" t="s">
        <v>3430</v>
      </c>
    </row>
    <row r="91" spans="1:7" ht="11.25" customHeight="1">
      <c r="A91" t="s">
        <v>3</v>
      </c>
      <c r="B91" t="s">
        <v>3419</v>
      </c>
      <c r="C91" t="s">
        <v>3420</v>
      </c>
      <c r="D91" t="s">
        <v>3431</v>
      </c>
      <c r="E91" t="s">
        <v>3432</v>
      </c>
      <c r="F91" t="s">
        <v>3248</v>
      </c>
      <c r="G91" t="s">
        <v>3433</v>
      </c>
    </row>
    <row r="92" spans="1:7" ht="11.25" customHeight="1">
      <c r="A92" t="s">
        <v>3</v>
      </c>
      <c r="B92" t="s">
        <v>3419</v>
      </c>
      <c r="C92" t="s">
        <v>3420</v>
      </c>
      <c r="D92" t="s">
        <v>3434</v>
      </c>
      <c r="E92" t="s">
        <v>3435</v>
      </c>
      <c r="F92" t="s">
        <v>3248</v>
      </c>
      <c r="G92" t="s">
        <v>3436</v>
      </c>
    </row>
    <row r="93" spans="1:7" ht="11.25" customHeight="1">
      <c r="A93" t="s">
        <v>3</v>
      </c>
      <c r="B93" t="s">
        <v>106</v>
      </c>
      <c r="C93" t="s">
        <v>107</v>
      </c>
      <c r="D93" t="s">
        <v>106</v>
      </c>
      <c r="E93" t="s">
        <v>107</v>
      </c>
      <c r="F93" t="s">
        <v>3239</v>
      </c>
      <c r="G93" t="s">
        <v>105</v>
      </c>
    </row>
    <row r="94" spans="1:7" ht="11.25" customHeight="1">
      <c r="A94" t="s">
        <v>3</v>
      </c>
      <c r="B94" t="s">
        <v>3437</v>
      </c>
      <c r="C94" t="s">
        <v>3438</v>
      </c>
      <c r="D94" t="s">
        <v>3439</v>
      </c>
      <c r="E94" t="s">
        <v>3440</v>
      </c>
      <c r="F94" t="s">
        <v>3248</v>
      </c>
      <c r="G94" t="s">
        <v>3441</v>
      </c>
    </row>
    <row r="95" spans="1:7" ht="11.25" customHeight="1">
      <c r="A95" t="s">
        <v>3</v>
      </c>
      <c r="B95" t="s">
        <v>3437</v>
      </c>
      <c r="C95" t="s">
        <v>3438</v>
      </c>
      <c r="D95" t="s">
        <v>3442</v>
      </c>
      <c r="E95" t="s">
        <v>3443</v>
      </c>
      <c r="F95" t="s">
        <v>3248</v>
      </c>
      <c r="G95" t="s">
        <v>3444</v>
      </c>
    </row>
    <row r="96" spans="1:7" ht="11.25" customHeight="1">
      <c r="A96" t="s">
        <v>3</v>
      </c>
      <c r="B96" t="s">
        <v>3437</v>
      </c>
      <c r="C96" t="s">
        <v>3438</v>
      </c>
      <c r="D96" t="s">
        <v>3437</v>
      </c>
      <c r="E96" t="s">
        <v>3438</v>
      </c>
      <c r="F96" t="s">
        <v>3242</v>
      </c>
      <c r="G96" t="s">
        <v>3445</v>
      </c>
    </row>
    <row r="97" spans="1:7" ht="11.25" customHeight="1">
      <c r="A97" t="s">
        <v>3</v>
      </c>
      <c r="B97" t="s">
        <v>3437</v>
      </c>
      <c r="C97" t="s">
        <v>3438</v>
      </c>
      <c r="D97" t="s">
        <v>3446</v>
      </c>
      <c r="E97" t="s">
        <v>3447</v>
      </c>
      <c r="F97" t="s">
        <v>3245</v>
      </c>
      <c r="G97" t="s">
        <v>3448</v>
      </c>
    </row>
    <row r="98" spans="1:7" ht="11.25" customHeight="1">
      <c r="A98" t="s">
        <v>3</v>
      </c>
      <c r="B98" t="s">
        <v>3437</v>
      </c>
      <c r="C98" t="s">
        <v>3438</v>
      </c>
      <c r="D98" t="s">
        <v>3449</v>
      </c>
      <c r="E98" t="s">
        <v>3450</v>
      </c>
      <c r="F98" t="s">
        <v>3248</v>
      </c>
      <c r="G98" t="s">
        <v>3451</v>
      </c>
    </row>
    <row r="99" spans="1:7" ht="11.25" customHeight="1">
      <c r="A99" t="s">
        <v>3</v>
      </c>
      <c r="B99" t="s">
        <v>3437</v>
      </c>
      <c r="C99" t="s">
        <v>3438</v>
      </c>
      <c r="D99" t="s">
        <v>3452</v>
      </c>
      <c r="E99" t="s">
        <v>3453</v>
      </c>
      <c r="F99" t="s">
        <v>3248</v>
      </c>
      <c r="G99" t="s">
        <v>3454</v>
      </c>
    </row>
    <row r="100" spans="1:7" ht="11.25" customHeight="1">
      <c r="A100" t="s">
        <v>3</v>
      </c>
      <c r="B100" t="s">
        <v>3437</v>
      </c>
      <c r="C100" t="s">
        <v>3438</v>
      </c>
      <c r="D100" t="s">
        <v>3455</v>
      </c>
      <c r="E100" t="s">
        <v>3456</v>
      </c>
      <c r="F100" t="s">
        <v>3248</v>
      </c>
      <c r="G100" t="s">
        <v>3457</v>
      </c>
    </row>
    <row r="101" spans="1:7" ht="11.25" customHeight="1">
      <c r="A101" t="s">
        <v>3</v>
      </c>
      <c r="B101" t="s">
        <v>103</v>
      </c>
      <c r="C101" t="s">
        <v>104</v>
      </c>
      <c r="D101" t="s">
        <v>103</v>
      </c>
      <c r="E101" t="s">
        <v>104</v>
      </c>
      <c r="F101" t="s">
        <v>3239</v>
      </c>
      <c r="G101" t="s">
        <v>102</v>
      </c>
    </row>
    <row r="102" spans="1:7" ht="11.25" customHeight="1">
      <c r="A102" t="s">
        <v>3</v>
      </c>
      <c r="B102" t="s">
        <v>3458</v>
      </c>
      <c r="C102" t="s">
        <v>3459</v>
      </c>
      <c r="D102" t="s">
        <v>3460</v>
      </c>
      <c r="E102" t="s">
        <v>3461</v>
      </c>
      <c r="F102" t="s">
        <v>3248</v>
      </c>
      <c r="G102" t="s">
        <v>3462</v>
      </c>
    </row>
    <row r="103" spans="1:7" ht="11.25" customHeight="1">
      <c r="A103" t="s">
        <v>3</v>
      </c>
      <c r="B103" t="s">
        <v>3458</v>
      </c>
      <c r="C103" t="s">
        <v>3459</v>
      </c>
      <c r="D103" t="s">
        <v>3463</v>
      </c>
      <c r="E103" t="s">
        <v>3464</v>
      </c>
      <c r="F103" t="s">
        <v>3248</v>
      </c>
      <c r="G103" t="s">
        <v>3465</v>
      </c>
    </row>
    <row r="104" spans="1:7" ht="11.25" customHeight="1">
      <c r="A104" t="s">
        <v>3</v>
      </c>
      <c r="B104" t="s">
        <v>3458</v>
      </c>
      <c r="C104" t="s">
        <v>3459</v>
      </c>
      <c r="D104" t="s">
        <v>3466</v>
      </c>
      <c r="E104" t="s">
        <v>3467</v>
      </c>
      <c r="F104" t="s">
        <v>3248</v>
      </c>
      <c r="G104" t="s">
        <v>3468</v>
      </c>
    </row>
    <row r="105" spans="1:7" ht="11.25" customHeight="1">
      <c r="A105" t="s">
        <v>3</v>
      </c>
      <c r="B105" t="s">
        <v>3458</v>
      </c>
      <c r="C105" t="s">
        <v>3459</v>
      </c>
      <c r="D105" t="s">
        <v>3469</v>
      </c>
      <c r="E105" t="s">
        <v>3470</v>
      </c>
      <c r="F105" t="s">
        <v>3248</v>
      </c>
      <c r="G105" t="s">
        <v>3471</v>
      </c>
    </row>
    <row r="106" spans="1:7" ht="11.25" customHeight="1">
      <c r="A106" t="s">
        <v>3</v>
      </c>
      <c r="B106" t="s">
        <v>3458</v>
      </c>
      <c r="C106" t="s">
        <v>3459</v>
      </c>
      <c r="D106" t="s">
        <v>3472</v>
      </c>
      <c r="E106" t="s">
        <v>3473</v>
      </c>
      <c r="F106" t="s">
        <v>3248</v>
      </c>
      <c r="G106" t="s">
        <v>3474</v>
      </c>
    </row>
    <row r="107" spans="1:7" ht="11.25" customHeight="1">
      <c r="A107" t="s">
        <v>3</v>
      </c>
      <c r="B107" t="s">
        <v>3458</v>
      </c>
      <c r="C107" t="s">
        <v>3459</v>
      </c>
      <c r="D107" t="s">
        <v>3475</v>
      </c>
      <c r="E107" t="s">
        <v>3476</v>
      </c>
      <c r="F107" t="s">
        <v>3248</v>
      </c>
      <c r="G107" t="s">
        <v>3477</v>
      </c>
    </row>
    <row r="108" spans="1:7" ht="11.25" customHeight="1">
      <c r="A108" t="s">
        <v>3</v>
      </c>
      <c r="B108" t="s">
        <v>3458</v>
      </c>
      <c r="C108" t="s">
        <v>3459</v>
      </c>
      <c r="D108" t="s">
        <v>3478</v>
      </c>
      <c r="E108" t="s">
        <v>3479</v>
      </c>
      <c r="F108" t="s">
        <v>3248</v>
      </c>
      <c r="G108" t="s">
        <v>3480</v>
      </c>
    </row>
    <row r="109" spans="1:7" ht="11.25" customHeight="1">
      <c r="A109" t="s">
        <v>3</v>
      </c>
      <c r="B109" t="s">
        <v>3458</v>
      </c>
      <c r="C109" t="s">
        <v>3459</v>
      </c>
      <c r="D109" t="s">
        <v>3481</v>
      </c>
      <c r="E109" t="s">
        <v>3482</v>
      </c>
      <c r="F109" t="s">
        <v>3248</v>
      </c>
      <c r="G109" t="s">
        <v>3483</v>
      </c>
    </row>
    <row r="110" spans="1:7" ht="11.25" customHeight="1">
      <c r="A110" t="s">
        <v>3</v>
      </c>
      <c r="B110" t="s">
        <v>3458</v>
      </c>
      <c r="C110" t="s">
        <v>3459</v>
      </c>
      <c r="D110" t="s">
        <v>3458</v>
      </c>
      <c r="E110" t="s">
        <v>3459</v>
      </c>
      <c r="F110" t="s">
        <v>3242</v>
      </c>
      <c r="G110" t="s">
        <v>3484</v>
      </c>
    </row>
    <row r="111" spans="1:7" ht="11.25" customHeight="1">
      <c r="A111" t="s">
        <v>3</v>
      </c>
      <c r="B111" t="s">
        <v>3458</v>
      </c>
      <c r="C111" t="s">
        <v>3459</v>
      </c>
      <c r="D111" t="s">
        <v>3485</v>
      </c>
      <c r="E111" t="s">
        <v>3486</v>
      </c>
      <c r="F111" t="s">
        <v>3245</v>
      </c>
      <c r="G111" t="s">
        <v>3487</v>
      </c>
    </row>
    <row r="112" spans="1:7" ht="11.25" customHeight="1">
      <c r="A112" t="s">
        <v>3</v>
      </c>
      <c r="B112" t="s">
        <v>3458</v>
      </c>
      <c r="C112" t="s">
        <v>3459</v>
      </c>
      <c r="D112" t="s">
        <v>3488</v>
      </c>
      <c r="E112" t="s">
        <v>3489</v>
      </c>
      <c r="F112" t="s">
        <v>3248</v>
      </c>
      <c r="G112" t="s">
        <v>3490</v>
      </c>
    </row>
    <row r="113" spans="1:7" ht="11.25" customHeight="1">
      <c r="A113" t="s">
        <v>3</v>
      </c>
      <c r="B113" t="s">
        <v>3491</v>
      </c>
      <c r="C113" t="s">
        <v>3492</v>
      </c>
      <c r="D113" t="s">
        <v>3491</v>
      </c>
      <c r="E113" t="s">
        <v>3492</v>
      </c>
      <c r="F113" t="s">
        <v>3239</v>
      </c>
      <c r="G113" t="s">
        <v>3493</v>
      </c>
    </row>
    <row r="114" spans="1:7" ht="11.25" customHeight="1">
      <c r="A114" t="s">
        <v>3</v>
      </c>
      <c r="B114" t="s">
        <v>3494</v>
      </c>
      <c r="C114" t="s">
        <v>3495</v>
      </c>
      <c r="D114" t="s">
        <v>3496</v>
      </c>
      <c r="E114" t="s">
        <v>3497</v>
      </c>
      <c r="F114" t="s">
        <v>3308</v>
      </c>
      <c r="G114" t="s">
        <v>3498</v>
      </c>
    </row>
    <row r="115" spans="1:7" ht="11.25" customHeight="1">
      <c r="A115" t="s">
        <v>3</v>
      </c>
      <c r="B115" t="s">
        <v>3494</v>
      </c>
      <c r="C115" t="s">
        <v>3495</v>
      </c>
      <c r="D115" t="s">
        <v>3499</v>
      </c>
      <c r="E115" t="s">
        <v>3500</v>
      </c>
      <c r="F115" t="s">
        <v>3248</v>
      </c>
      <c r="G115" t="s">
        <v>3501</v>
      </c>
    </row>
    <row r="116" spans="1:7" ht="11.25" customHeight="1">
      <c r="A116" t="s">
        <v>3</v>
      </c>
      <c r="B116" t="s">
        <v>3494</v>
      </c>
      <c r="C116" t="s">
        <v>3495</v>
      </c>
      <c r="D116" t="s">
        <v>3502</v>
      </c>
      <c r="E116" t="s">
        <v>3503</v>
      </c>
      <c r="F116" t="s">
        <v>3248</v>
      </c>
      <c r="G116" t="s">
        <v>3504</v>
      </c>
    </row>
    <row r="117" spans="1:7" ht="11.25" customHeight="1">
      <c r="A117" t="s">
        <v>3</v>
      </c>
      <c r="B117" t="s">
        <v>3494</v>
      </c>
      <c r="C117" t="s">
        <v>3495</v>
      </c>
      <c r="D117" t="s">
        <v>3505</v>
      </c>
      <c r="E117" t="s">
        <v>3506</v>
      </c>
      <c r="F117" t="s">
        <v>3248</v>
      </c>
      <c r="G117" t="s">
        <v>3507</v>
      </c>
    </row>
    <row r="118" spans="1:7" ht="11.25" customHeight="1">
      <c r="A118" t="s">
        <v>3</v>
      </c>
      <c r="B118" t="s">
        <v>3494</v>
      </c>
      <c r="C118" t="s">
        <v>3495</v>
      </c>
      <c r="D118" t="s">
        <v>3494</v>
      </c>
      <c r="E118" t="s">
        <v>3495</v>
      </c>
      <c r="F118" t="s">
        <v>3242</v>
      </c>
      <c r="G118" t="s">
        <v>3508</v>
      </c>
    </row>
    <row r="119" spans="1:7" ht="11.25" customHeight="1">
      <c r="A119" t="s">
        <v>3</v>
      </c>
      <c r="B119" t="s">
        <v>3494</v>
      </c>
      <c r="C119" t="s">
        <v>3495</v>
      </c>
      <c r="D119" t="s">
        <v>3509</v>
      </c>
      <c r="E119" t="s">
        <v>3510</v>
      </c>
      <c r="F119" t="s">
        <v>3245</v>
      </c>
      <c r="G119" t="s">
        <v>3511</v>
      </c>
    </row>
    <row r="120" spans="1:7" ht="11.25" customHeight="1">
      <c r="A120" t="s">
        <v>3</v>
      </c>
      <c r="B120" t="s">
        <v>3494</v>
      </c>
      <c r="C120" t="s">
        <v>3495</v>
      </c>
      <c r="D120" t="s">
        <v>3512</v>
      </c>
      <c r="E120" t="s">
        <v>3513</v>
      </c>
      <c r="F120" t="s">
        <v>3248</v>
      </c>
      <c r="G120" t="s">
        <v>3514</v>
      </c>
    </row>
    <row r="121" spans="1:7" ht="11.25" customHeight="1">
      <c r="A121" t="s">
        <v>3</v>
      </c>
      <c r="B121" t="s">
        <v>118</v>
      </c>
      <c r="C121" t="s">
        <v>119</v>
      </c>
      <c r="D121" t="s">
        <v>118</v>
      </c>
      <c r="E121" t="s">
        <v>119</v>
      </c>
      <c r="F121" t="s">
        <v>3239</v>
      </c>
      <c r="G121" t="s">
        <v>117</v>
      </c>
    </row>
    <row r="122" spans="1:7" ht="11.25" customHeight="1">
      <c r="A122" t="s">
        <v>3</v>
      </c>
      <c r="B122" t="s">
        <v>3515</v>
      </c>
      <c r="C122" t="s">
        <v>3516</v>
      </c>
      <c r="D122" t="s">
        <v>3517</v>
      </c>
      <c r="E122" t="s">
        <v>3518</v>
      </c>
      <c r="F122" t="s">
        <v>3248</v>
      </c>
      <c r="G122" t="s">
        <v>3519</v>
      </c>
    </row>
    <row r="123" spans="1:7" ht="11.25" customHeight="1">
      <c r="A123" t="s">
        <v>3</v>
      </c>
      <c r="B123" t="s">
        <v>3515</v>
      </c>
      <c r="C123" t="s">
        <v>3516</v>
      </c>
      <c r="D123" t="s">
        <v>3520</v>
      </c>
      <c r="E123" t="s">
        <v>3521</v>
      </c>
      <c r="F123" t="s">
        <v>3248</v>
      </c>
      <c r="G123" t="s">
        <v>3522</v>
      </c>
    </row>
    <row r="124" spans="1:7" ht="11.25" customHeight="1">
      <c r="A124" t="s">
        <v>3</v>
      </c>
      <c r="B124" t="s">
        <v>3515</v>
      </c>
      <c r="C124" t="s">
        <v>3516</v>
      </c>
      <c r="D124" t="s">
        <v>3523</v>
      </c>
      <c r="E124" t="s">
        <v>3524</v>
      </c>
      <c r="F124" t="s">
        <v>3248</v>
      </c>
      <c r="G124" t="s">
        <v>3525</v>
      </c>
    </row>
    <row r="125" spans="1:7" ht="11.25" customHeight="1">
      <c r="A125" t="s">
        <v>3</v>
      </c>
      <c r="B125" t="s">
        <v>3515</v>
      </c>
      <c r="C125" t="s">
        <v>3516</v>
      </c>
      <c r="D125" t="s">
        <v>3526</v>
      </c>
      <c r="E125" t="s">
        <v>3527</v>
      </c>
      <c r="F125" t="s">
        <v>3248</v>
      </c>
      <c r="G125" t="s">
        <v>3528</v>
      </c>
    </row>
    <row r="126" spans="1:7" ht="11.25" customHeight="1">
      <c r="A126" t="s">
        <v>3</v>
      </c>
      <c r="B126" t="s">
        <v>3515</v>
      </c>
      <c r="C126" t="s">
        <v>3516</v>
      </c>
      <c r="D126" t="s">
        <v>3529</v>
      </c>
      <c r="E126" t="s">
        <v>3530</v>
      </c>
      <c r="F126" t="s">
        <v>3248</v>
      </c>
      <c r="G126" t="s">
        <v>3531</v>
      </c>
    </row>
    <row r="127" spans="1:7" ht="11.25" customHeight="1">
      <c r="A127" t="s">
        <v>3</v>
      </c>
      <c r="B127" t="s">
        <v>3515</v>
      </c>
      <c r="C127" t="s">
        <v>3516</v>
      </c>
      <c r="D127" t="s">
        <v>3532</v>
      </c>
      <c r="E127" t="s">
        <v>3533</v>
      </c>
      <c r="F127" t="s">
        <v>3248</v>
      </c>
      <c r="G127" t="s">
        <v>3534</v>
      </c>
    </row>
    <row r="128" spans="1:7" ht="11.25" customHeight="1">
      <c r="A128" t="s">
        <v>3</v>
      </c>
      <c r="B128" t="s">
        <v>3515</v>
      </c>
      <c r="C128" t="s">
        <v>3516</v>
      </c>
      <c r="D128" t="s">
        <v>3535</v>
      </c>
      <c r="E128" t="s">
        <v>3536</v>
      </c>
      <c r="F128" t="s">
        <v>3248</v>
      </c>
      <c r="G128" t="s">
        <v>3537</v>
      </c>
    </row>
    <row r="129" spans="1:7" ht="11.25" customHeight="1">
      <c r="A129" t="s">
        <v>3</v>
      </c>
      <c r="B129" t="s">
        <v>3515</v>
      </c>
      <c r="C129" t="s">
        <v>3516</v>
      </c>
      <c r="D129" t="s">
        <v>3538</v>
      </c>
      <c r="E129" t="s">
        <v>3539</v>
      </c>
      <c r="F129" t="s">
        <v>3248</v>
      </c>
      <c r="G129" t="s">
        <v>3540</v>
      </c>
    </row>
    <row r="130" spans="1:7" ht="11.25" customHeight="1">
      <c r="A130" t="s">
        <v>3</v>
      </c>
      <c r="B130" t="s">
        <v>3515</v>
      </c>
      <c r="C130" t="s">
        <v>3516</v>
      </c>
      <c r="D130" t="s">
        <v>3541</v>
      </c>
      <c r="E130" t="s">
        <v>3542</v>
      </c>
      <c r="F130" t="s">
        <v>3248</v>
      </c>
      <c r="G130" t="s">
        <v>3543</v>
      </c>
    </row>
    <row r="131" spans="1:7" ht="11.25" customHeight="1">
      <c r="A131" t="s">
        <v>3</v>
      </c>
      <c r="B131" t="s">
        <v>3515</v>
      </c>
      <c r="C131" t="s">
        <v>3516</v>
      </c>
      <c r="D131" t="s">
        <v>3544</v>
      </c>
      <c r="E131" t="s">
        <v>3545</v>
      </c>
      <c r="F131" t="s">
        <v>3248</v>
      </c>
      <c r="G131" t="s">
        <v>3546</v>
      </c>
    </row>
    <row r="132" spans="1:7" ht="11.25" customHeight="1">
      <c r="A132" t="s">
        <v>3</v>
      </c>
      <c r="B132" t="s">
        <v>3515</v>
      </c>
      <c r="C132" t="s">
        <v>3516</v>
      </c>
      <c r="D132" t="s">
        <v>3547</v>
      </c>
      <c r="E132" t="s">
        <v>3548</v>
      </c>
      <c r="F132" t="s">
        <v>3248</v>
      </c>
      <c r="G132" t="s">
        <v>3549</v>
      </c>
    </row>
    <row r="133" spans="1:7" ht="11.25" customHeight="1">
      <c r="A133" t="s">
        <v>3</v>
      </c>
      <c r="B133" t="s">
        <v>3515</v>
      </c>
      <c r="C133" t="s">
        <v>3516</v>
      </c>
      <c r="D133" t="s">
        <v>3550</v>
      </c>
      <c r="E133" t="s">
        <v>3551</v>
      </c>
      <c r="F133" t="s">
        <v>3245</v>
      </c>
      <c r="G133" t="s">
        <v>3552</v>
      </c>
    </row>
    <row r="134" spans="1:7" ht="11.25" customHeight="1">
      <c r="A134" t="s">
        <v>3</v>
      </c>
      <c r="B134" t="s">
        <v>3515</v>
      </c>
      <c r="C134" t="s">
        <v>3516</v>
      </c>
      <c r="D134" t="s">
        <v>3515</v>
      </c>
      <c r="E134" t="s">
        <v>3516</v>
      </c>
      <c r="F134" t="s">
        <v>3242</v>
      </c>
      <c r="G134" t="s">
        <v>3553</v>
      </c>
    </row>
    <row r="135" spans="1:7" ht="11.25" customHeight="1">
      <c r="A135" t="s">
        <v>3</v>
      </c>
      <c r="B135" t="s">
        <v>3515</v>
      </c>
      <c r="C135" t="s">
        <v>3516</v>
      </c>
      <c r="D135" t="s">
        <v>3554</v>
      </c>
      <c r="E135" t="s">
        <v>3555</v>
      </c>
      <c r="F135" t="s">
        <v>3248</v>
      </c>
      <c r="G135" t="s">
        <v>3556</v>
      </c>
    </row>
    <row r="136" spans="1:7" ht="11.25" customHeight="1">
      <c r="A136" t="s">
        <v>3</v>
      </c>
      <c r="B136" t="s">
        <v>149</v>
      </c>
      <c r="C136" t="s">
        <v>150</v>
      </c>
      <c r="D136" t="s">
        <v>149</v>
      </c>
      <c r="E136" t="s">
        <v>150</v>
      </c>
      <c r="F136" t="s">
        <v>3239</v>
      </c>
      <c r="G136" t="s">
        <v>148</v>
      </c>
    </row>
    <row r="137" spans="1:7" ht="11.25" customHeight="1">
      <c r="A137" t="s">
        <v>3</v>
      </c>
      <c r="B137" t="s">
        <v>3557</v>
      </c>
      <c r="C137" t="s">
        <v>3558</v>
      </c>
      <c r="D137" t="s">
        <v>3559</v>
      </c>
      <c r="E137" t="s">
        <v>3560</v>
      </c>
      <c r="F137" t="s">
        <v>3248</v>
      </c>
      <c r="G137" t="s">
        <v>3561</v>
      </c>
    </row>
    <row r="138" spans="1:7" ht="11.25" customHeight="1">
      <c r="A138" t="s">
        <v>3</v>
      </c>
      <c r="B138" t="s">
        <v>3557</v>
      </c>
      <c r="C138" t="s">
        <v>3558</v>
      </c>
      <c r="D138" t="s">
        <v>3562</v>
      </c>
      <c r="E138" t="s">
        <v>3563</v>
      </c>
      <c r="F138" t="s">
        <v>3248</v>
      </c>
      <c r="G138" t="s">
        <v>3564</v>
      </c>
    </row>
    <row r="139" spans="1:7" ht="11.25" customHeight="1">
      <c r="A139" t="s">
        <v>3</v>
      </c>
      <c r="B139" t="s">
        <v>3557</v>
      </c>
      <c r="C139" t="s">
        <v>3558</v>
      </c>
      <c r="D139" t="s">
        <v>3565</v>
      </c>
      <c r="E139" t="s">
        <v>3566</v>
      </c>
      <c r="F139" t="s">
        <v>3248</v>
      </c>
      <c r="G139" t="s">
        <v>3567</v>
      </c>
    </row>
    <row r="140" spans="1:7" ht="11.25" customHeight="1">
      <c r="A140" t="s">
        <v>3</v>
      </c>
      <c r="B140" t="s">
        <v>3557</v>
      </c>
      <c r="C140" t="s">
        <v>3558</v>
      </c>
      <c r="D140" t="s">
        <v>3568</v>
      </c>
      <c r="E140" t="s">
        <v>3569</v>
      </c>
      <c r="F140" t="s">
        <v>3248</v>
      </c>
      <c r="G140" t="s">
        <v>3570</v>
      </c>
    </row>
    <row r="141" spans="1:7" ht="11.25" customHeight="1">
      <c r="A141" t="s">
        <v>3</v>
      </c>
      <c r="B141" t="s">
        <v>3557</v>
      </c>
      <c r="C141" t="s">
        <v>3558</v>
      </c>
      <c r="D141" t="s">
        <v>3571</v>
      </c>
      <c r="E141" t="s">
        <v>3572</v>
      </c>
      <c r="F141" t="s">
        <v>3248</v>
      </c>
      <c r="G141" t="s">
        <v>3573</v>
      </c>
    </row>
    <row r="142" spans="1:7" ht="11.25" customHeight="1">
      <c r="A142" t="s">
        <v>3</v>
      </c>
      <c r="B142" t="s">
        <v>3557</v>
      </c>
      <c r="C142" t="s">
        <v>3558</v>
      </c>
      <c r="D142" t="s">
        <v>3574</v>
      </c>
      <c r="E142" t="s">
        <v>3575</v>
      </c>
      <c r="F142" t="s">
        <v>3248</v>
      </c>
      <c r="G142" t="s">
        <v>3576</v>
      </c>
    </row>
    <row r="143" spans="1:7" ht="11.25" customHeight="1">
      <c r="A143" t="s">
        <v>3</v>
      </c>
      <c r="B143" t="s">
        <v>3557</v>
      </c>
      <c r="C143" t="s">
        <v>3558</v>
      </c>
      <c r="D143" t="s">
        <v>3577</v>
      </c>
      <c r="E143" t="s">
        <v>3578</v>
      </c>
      <c r="F143" t="s">
        <v>3248</v>
      </c>
      <c r="G143" t="s">
        <v>3579</v>
      </c>
    </row>
    <row r="144" spans="1:7" ht="11.25" customHeight="1">
      <c r="A144" t="s">
        <v>3</v>
      </c>
      <c r="B144" t="s">
        <v>3557</v>
      </c>
      <c r="C144" t="s">
        <v>3558</v>
      </c>
      <c r="D144" t="s">
        <v>3580</v>
      </c>
      <c r="E144" t="s">
        <v>3581</v>
      </c>
      <c r="F144" t="s">
        <v>3248</v>
      </c>
      <c r="G144" t="s">
        <v>3582</v>
      </c>
    </row>
    <row r="145" spans="1:7" ht="11.25" customHeight="1">
      <c r="A145" t="s">
        <v>3</v>
      </c>
      <c r="B145" t="s">
        <v>3557</v>
      </c>
      <c r="C145" t="s">
        <v>3558</v>
      </c>
      <c r="D145" t="s">
        <v>3583</v>
      </c>
      <c r="E145" t="s">
        <v>3584</v>
      </c>
      <c r="F145" t="s">
        <v>3248</v>
      </c>
      <c r="G145" t="s">
        <v>3585</v>
      </c>
    </row>
    <row r="146" spans="1:7" ht="11.25" customHeight="1">
      <c r="A146" t="s">
        <v>3</v>
      </c>
      <c r="B146" t="s">
        <v>3557</v>
      </c>
      <c r="C146" t="s">
        <v>3558</v>
      </c>
      <c r="D146" t="s">
        <v>3586</v>
      </c>
      <c r="E146" t="s">
        <v>3587</v>
      </c>
      <c r="F146" t="s">
        <v>3248</v>
      </c>
      <c r="G146" t="s">
        <v>3588</v>
      </c>
    </row>
    <row r="147" spans="1:7" ht="11.25" customHeight="1">
      <c r="A147" t="s">
        <v>3</v>
      </c>
      <c r="B147" t="s">
        <v>3557</v>
      </c>
      <c r="C147" t="s">
        <v>3558</v>
      </c>
      <c r="D147" t="s">
        <v>3589</v>
      </c>
      <c r="E147" t="s">
        <v>3590</v>
      </c>
      <c r="F147" t="s">
        <v>3248</v>
      </c>
      <c r="G147" t="s">
        <v>3591</v>
      </c>
    </row>
    <row r="148" spans="1:7" ht="11.25" customHeight="1">
      <c r="A148" t="s">
        <v>3</v>
      </c>
      <c r="B148" t="s">
        <v>3557</v>
      </c>
      <c r="C148" t="s">
        <v>3558</v>
      </c>
      <c r="D148" t="s">
        <v>3592</v>
      </c>
      <c r="E148" t="s">
        <v>3593</v>
      </c>
      <c r="F148" t="s">
        <v>3248</v>
      </c>
      <c r="G148" t="s">
        <v>3594</v>
      </c>
    </row>
    <row r="149" spans="1:7" ht="11.25" customHeight="1">
      <c r="A149" t="s">
        <v>3</v>
      </c>
      <c r="B149" t="s">
        <v>3557</v>
      </c>
      <c r="C149" t="s">
        <v>3558</v>
      </c>
      <c r="D149" t="s">
        <v>3595</v>
      </c>
      <c r="E149" t="s">
        <v>3596</v>
      </c>
      <c r="F149" t="s">
        <v>3248</v>
      </c>
      <c r="G149" t="s">
        <v>3597</v>
      </c>
    </row>
    <row r="150" spans="1:7" ht="11.25" customHeight="1">
      <c r="A150" t="s">
        <v>3</v>
      </c>
      <c r="B150" t="s">
        <v>3557</v>
      </c>
      <c r="C150" t="s">
        <v>3558</v>
      </c>
      <c r="D150" t="s">
        <v>3598</v>
      </c>
      <c r="E150" t="s">
        <v>3599</v>
      </c>
      <c r="F150" t="s">
        <v>3248</v>
      </c>
      <c r="G150" t="s">
        <v>3600</v>
      </c>
    </row>
    <row r="151" spans="1:7" ht="11.25" customHeight="1">
      <c r="A151" t="s">
        <v>3</v>
      </c>
      <c r="B151" t="s">
        <v>3557</v>
      </c>
      <c r="C151" t="s">
        <v>3558</v>
      </c>
      <c r="D151" t="s">
        <v>3601</v>
      </c>
      <c r="E151" t="s">
        <v>3602</v>
      </c>
      <c r="F151" t="s">
        <v>3248</v>
      </c>
      <c r="G151" t="s">
        <v>3603</v>
      </c>
    </row>
    <row r="152" spans="1:7" ht="11.25" customHeight="1">
      <c r="A152" t="s">
        <v>3</v>
      </c>
      <c r="B152" t="s">
        <v>3557</v>
      </c>
      <c r="C152" t="s">
        <v>3558</v>
      </c>
      <c r="D152" t="s">
        <v>3604</v>
      </c>
      <c r="E152" t="s">
        <v>3605</v>
      </c>
      <c r="F152" t="s">
        <v>3248</v>
      </c>
      <c r="G152" t="s">
        <v>3606</v>
      </c>
    </row>
    <row r="153" spans="1:7" ht="11.25" customHeight="1">
      <c r="A153" t="s">
        <v>3</v>
      </c>
      <c r="B153" t="s">
        <v>3557</v>
      </c>
      <c r="C153" t="s">
        <v>3558</v>
      </c>
      <c r="D153" t="s">
        <v>3557</v>
      </c>
      <c r="E153" t="s">
        <v>3558</v>
      </c>
      <c r="F153" t="s">
        <v>3242</v>
      </c>
      <c r="G153" t="s">
        <v>3607</v>
      </c>
    </row>
    <row r="154" spans="1:7" ht="11.25" customHeight="1">
      <c r="A154" t="s">
        <v>3</v>
      </c>
      <c r="B154" t="s">
        <v>3557</v>
      </c>
      <c r="C154" t="s">
        <v>3558</v>
      </c>
      <c r="D154" t="s">
        <v>3608</v>
      </c>
      <c r="E154" t="s">
        <v>3609</v>
      </c>
      <c r="F154" t="s">
        <v>3248</v>
      </c>
      <c r="G154" t="s">
        <v>3610</v>
      </c>
    </row>
    <row r="155" spans="1:7" ht="11.25" customHeight="1">
      <c r="A155" t="s">
        <v>3</v>
      </c>
      <c r="B155" t="s">
        <v>3557</v>
      </c>
      <c r="C155" t="s">
        <v>3558</v>
      </c>
      <c r="D155" t="s">
        <v>3611</v>
      </c>
      <c r="E155" t="s">
        <v>3612</v>
      </c>
      <c r="F155" t="s">
        <v>3248</v>
      </c>
      <c r="G155" t="s">
        <v>3613</v>
      </c>
    </row>
    <row r="156" spans="1:7" ht="11.25" customHeight="1">
      <c r="A156" t="s">
        <v>3</v>
      </c>
      <c r="B156" t="s">
        <v>3557</v>
      </c>
      <c r="C156" t="s">
        <v>3558</v>
      </c>
      <c r="D156" t="s">
        <v>3614</v>
      </c>
      <c r="E156" t="s">
        <v>3615</v>
      </c>
      <c r="F156" t="s">
        <v>3248</v>
      </c>
      <c r="G156" t="s">
        <v>3616</v>
      </c>
    </row>
    <row r="157" spans="1:7" ht="11.25" customHeight="1">
      <c r="A157" t="s">
        <v>3</v>
      </c>
      <c r="B157" t="s">
        <v>99</v>
      </c>
      <c r="C157" t="s">
        <v>100</v>
      </c>
      <c r="D157" t="s">
        <v>99</v>
      </c>
      <c r="E157" t="s">
        <v>100</v>
      </c>
      <c r="F157" t="s">
        <v>3239</v>
      </c>
      <c r="G157" t="s">
        <v>98</v>
      </c>
    </row>
    <row r="158" spans="1:7" ht="11.25" customHeight="1">
      <c r="A158" t="s">
        <v>3</v>
      </c>
      <c r="B158" t="s">
        <v>3617</v>
      </c>
      <c r="C158" t="s">
        <v>3618</v>
      </c>
      <c r="D158" t="s">
        <v>3619</v>
      </c>
      <c r="E158" t="s">
        <v>3620</v>
      </c>
      <c r="F158" t="s">
        <v>3248</v>
      </c>
      <c r="G158" t="s">
        <v>3621</v>
      </c>
    </row>
    <row r="159" spans="1:7" ht="11.25" customHeight="1">
      <c r="A159" t="s">
        <v>3</v>
      </c>
      <c r="B159" t="s">
        <v>3617</v>
      </c>
      <c r="C159" t="s">
        <v>3618</v>
      </c>
      <c r="D159" t="s">
        <v>3622</v>
      </c>
      <c r="E159" t="s">
        <v>3623</v>
      </c>
      <c r="F159" t="s">
        <v>3248</v>
      </c>
      <c r="G159" t="s">
        <v>3624</v>
      </c>
    </row>
    <row r="160" spans="1:7" ht="11.25" customHeight="1">
      <c r="A160" t="s">
        <v>3</v>
      </c>
      <c r="B160" t="s">
        <v>3617</v>
      </c>
      <c r="C160" t="s">
        <v>3618</v>
      </c>
      <c r="D160" t="s">
        <v>3625</v>
      </c>
      <c r="E160" t="s">
        <v>3626</v>
      </c>
      <c r="F160" t="s">
        <v>3248</v>
      </c>
      <c r="G160" t="s">
        <v>3627</v>
      </c>
    </row>
    <row r="161" spans="1:7" ht="11.25" customHeight="1">
      <c r="A161" t="s">
        <v>3</v>
      </c>
      <c r="B161" t="s">
        <v>3617</v>
      </c>
      <c r="C161" t="s">
        <v>3618</v>
      </c>
      <c r="D161" t="s">
        <v>3279</v>
      </c>
      <c r="E161" t="s">
        <v>3628</v>
      </c>
      <c r="F161" t="s">
        <v>3248</v>
      </c>
      <c r="G161" t="s">
        <v>3629</v>
      </c>
    </row>
    <row r="162" spans="1:7" ht="11.25" customHeight="1">
      <c r="A162" t="s">
        <v>3</v>
      </c>
      <c r="B162" t="s">
        <v>3617</v>
      </c>
      <c r="C162" t="s">
        <v>3618</v>
      </c>
      <c r="D162" t="s">
        <v>3617</v>
      </c>
      <c r="E162" t="s">
        <v>3618</v>
      </c>
      <c r="F162" t="s">
        <v>3242</v>
      </c>
      <c r="G162" t="s">
        <v>3630</v>
      </c>
    </row>
    <row r="163" spans="1:7" ht="11.25" customHeight="1">
      <c r="A163" t="s">
        <v>3</v>
      </c>
      <c r="B163" t="s">
        <v>3617</v>
      </c>
      <c r="C163" t="s">
        <v>3618</v>
      </c>
      <c r="D163" t="s">
        <v>3631</v>
      </c>
      <c r="E163" t="s">
        <v>3632</v>
      </c>
      <c r="F163" t="s">
        <v>3245</v>
      </c>
      <c r="G163" t="s">
        <v>3633</v>
      </c>
    </row>
    <row r="164" spans="1:7" ht="11.25" customHeight="1">
      <c r="A164" t="s">
        <v>3</v>
      </c>
      <c r="B164" t="s">
        <v>3634</v>
      </c>
      <c r="C164" t="s">
        <v>3635</v>
      </c>
      <c r="D164" t="s">
        <v>3634</v>
      </c>
      <c r="E164" t="s">
        <v>3635</v>
      </c>
      <c r="F164" t="s">
        <v>3239</v>
      </c>
      <c r="G164" t="s">
        <v>3636</v>
      </c>
    </row>
    <row r="165" spans="1:7" ht="11.25" customHeight="1">
      <c r="A165" t="s">
        <v>3</v>
      </c>
      <c r="B165" t="s">
        <v>3637</v>
      </c>
      <c r="C165" t="s">
        <v>3638</v>
      </c>
      <c r="D165" t="s">
        <v>3639</v>
      </c>
      <c r="E165" t="s">
        <v>3640</v>
      </c>
      <c r="F165" t="s">
        <v>3248</v>
      </c>
      <c r="G165" t="s">
        <v>3641</v>
      </c>
    </row>
    <row r="166" spans="1:7" ht="11.25" customHeight="1">
      <c r="A166" t="s">
        <v>3</v>
      </c>
      <c r="B166" t="s">
        <v>3637</v>
      </c>
      <c r="C166" t="s">
        <v>3638</v>
      </c>
      <c r="D166" t="s">
        <v>3642</v>
      </c>
      <c r="E166" t="s">
        <v>3643</v>
      </c>
      <c r="F166" t="s">
        <v>3248</v>
      </c>
      <c r="G166" t="s">
        <v>3644</v>
      </c>
    </row>
    <row r="167" spans="1:7" ht="11.25" customHeight="1">
      <c r="A167" t="s">
        <v>3</v>
      </c>
      <c r="B167" t="s">
        <v>3637</v>
      </c>
      <c r="C167" t="s">
        <v>3638</v>
      </c>
      <c r="D167" t="s">
        <v>3645</v>
      </c>
      <c r="E167" t="s">
        <v>3646</v>
      </c>
      <c r="F167" t="s">
        <v>3248</v>
      </c>
      <c r="G167" t="s">
        <v>3647</v>
      </c>
    </row>
    <row r="168" spans="1:7" ht="11.25" customHeight="1">
      <c r="A168" t="s">
        <v>3</v>
      </c>
      <c r="B168" t="s">
        <v>3637</v>
      </c>
      <c r="C168" t="s">
        <v>3638</v>
      </c>
      <c r="D168" t="s">
        <v>3637</v>
      </c>
      <c r="E168" t="s">
        <v>3638</v>
      </c>
      <c r="F168" t="s">
        <v>3242</v>
      </c>
      <c r="G168" t="s">
        <v>3648</v>
      </c>
    </row>
    <row r="169" spans="1:7" ht="11.25" customHeight="1">
      <c r="A169" t="s">
        <v>3</v>
      </c>
      <c r="B169" t="s">
        <v>3637</v>
      </c>
      <c r="C169" t="s">
        <v>3638</v>
      </c>
      <c r="D169" t="s">
        <v>3649</v>
      </c>
      <c r="E169" t="s">
        <v>3650</v>
      </c>
      <c r="F169" t="s">
        <v>3248</v>
      </c>
      <c r="G169" t="s">
        <v>3651</v>
      </c>
    </row>
    <row r="170" spans="1:7" ht="11.25" customHeight="1">
      <c r="A170" t="s">
        <v>3</v>
      </c>
      <c r="B170" t="s">
        <v>3652</v>
      </c>
      <c r="C170" t="s">
        <v>3653</v>
      </c>
      <c r="D170" t="s">
        <v>3652</v>
      </c>
      <c r="E170" t="s">
        <v>3653</v>
      </c>
      <c r="F170" t="s">
        <v>3239</v>
      </c>
      <c r="G170" t="s">
        <v>3654</v>
      </c>
    </row>
    <row r="171" spans="1:7" ht="11.25" customHeight="1">
      <c r="A171" t="s">
        <v>3</v>
      </c>
      <c r="B171" t="s">
        <v>3655</v>
      </c>
      <c r="C171" t="s">
        <v>3656</v>
      </c>
      <c r="D171" t="s">
        <v>3657</v>
      </c>
      <c r="E171" t="s">
        <v>3658</v>
      </c>
      <c r="F171" t="s">
        <v>3248</v>
      </c>
      <c r="G171" t="s">
        <v>3659</v>
      </c>
    </row>
    <row r="172" spans="1:7" ht="11.25" customHeight="1">
      <c r="A172" t="s">
        <v>3</v>
      </c>
      <c r="B172" t="s">
        <v>3655</v>
      </c>
      <c r="C172" t="s">
        <v>3656</v>
      </c>
      <c r="D172" t="s">
        <v>3660</v>
      </c>
      <c r="E172" t="s">
        <v>3661</v>
      </c>
      <c r="F172" t="s">
        <v>3248</v>
      </c>
      <c r="G172" t="s">
        <v>3662</v>
      </c>
    </row>
    <row r="173" spans="1:7" ht="11.25" customHeight="1">
      <c r="A173" t="s">
        <v>3</v>
      </c>
      <c r="B173" t="s">
        <v>3655</v>
      </c>
      <c r="C173" t="s">
        <v>3656</v>
      </c>
      <c r="D173" t="s">
        <v>3655</v>
      </c>
      <c r="E173" t="s">
        <v>3656</v>
      </c>
      <c r="F173" t="s">
        <v>3242</v>
      </c>
      <c r="G173" t="s">
        <v>3663</v>
      </c>
    </row>
    <row r="174" spans="1:7" ht="11.25" customHeight="1">
      <c r="A174" t="s">
        <v>3</v>
      </c>
      <c r="B174" t="s">
        <v>3655</v>
      </c>
      <c r="C174" t="s">
        <v>3656</v>
      </c>
      <c r="D174" t="s">
        <v>3664</v>
      </c>
      <c r="E174" t="s">
        <v>3665</v>
      </c>
      <c r="F174" t="s">
        <v>3248</v>
      </c>
      <c r="G174" t="s">
        <v>3666</v>
      </c>
    </row>
    <row r="175" spans="1:7" ht="11.25" customHeight="1">
      <c r="A175" t="s">
        <v>3</v>
      </c>
      <c r="B175" t="s">
        <v>3667</v>
      </c>
      <c r="C175" t="s">
        <v>3668</v>
      </c>
      <c r="D175" t="s">
        <v>3667</v>
      </c>
      <c r="E175" t="s">
        <v>3668</v>
      </c>
      <c r="F175" t="s">
        <v>3239</v>
      </c>
      <c r="G175" t="s">
        <v>3669</v>
      </c>
    </row>
    <row r="176" spans="1:7" ht="11.25" customHeight="1">
      <c r="A176" t="s">
        <v>3</v>
      </c>
      <c r="B176" t="s">
        <v>3670</v>
      </c>
      <c r="C176" t="s">
        <v>3671</v>
      </c>
      <c r="D176" t="s">
        <v>3672</v>
      </c>
      <c r="E176" t="s">
        <v>3673</v>
      </c>
      <c r="F176" t="s">
        <v>3248</v>
      </c>
      <c r="G176" t="s">
        <v>3674</v>
      </c>
    </row>
    <row r="177" spans="1:7" ht="11.25" customHeight="1">
      <c r="A177" t="s">
        <v>3</v>
      </c>
      <c r="B177" t="s">
        <v>3670</v>
      </c>
      <c r="C177" t="s">
        <v>3671</v>
      </c>
      <c r="D177" t="s">
        <v>3675</v>
      </c>
      <c r="E177" t="s">
        <v>3676</v>
      </c>
      <c r="F177" t="s">
        <v>3248</v>
      </c>
      <c r="G177" t="s">
        <v>3677</v>
      </c>
    </row>
    <row r="178" spans="1:7" ht="11.25" customHeight="1">
      <c r="A178" t="s">
        <v>3</v>
      </c>
      <c r="B178" t="s">
        <v>3670</v>
      </c>
      <c r="C178" t="s">
        <v>3671</v>
      </c>
      <c r="D178" t="s">
        <v>3678</v>
      </c>
      <c r="E178" t="s">
        <v>3679</v>
      </c>
      <c r="F178" t="s">
        <v>3248</v>
      </c>
      <c r="G178" t="s">
        <v>3680</v>
      </c>
    </row>
    <row r="179" spans="1:7" ht="11.25" customHeight="1">
      <c r="A179" t="s">
        <v>3</v>
      </c>
      <c r="B179" t="s">
        <v>3670</v>
      </c>
      <c r="C179" t="s">
        <v>3671</v>
      </c>
      <c r="D179" t="s">
        <v>3681</v>
      </c>
      <c r="E179" t="s">
        <v>3682</v>
      </c>
      <c r="F179" t="s">
        <v>3248</v>
      </c>
      <c r="G179" t="s">
        <v>3683</v>
      </c>
    </row>
    <row r="180" spans="1:7" ht="11.25" customHeight="1">
      <c r="A180" t="s">
        <v>3</v>
      </c>
      <c r="B180" t="s">
        <v>3670</v>
      </c>
      <c r="C180" t="s">
        <v>3671</v>
      </c>
      <c r="D180" t="s">
        <v>3684</v>
      </c>
      <c r="E180" t="s">
        <v>3685</v>
      </c>
      <c r="F180" t="s">
        <v>3248</v>
      </c>
      <c r="G180" t="s">
        <v>3686</v>
      </c>
    </row>
    <row r="181" spans="1:7" ht="11.25" customHeight="1">
      <c r="A181" t="s">
        <v>3</v>
      </c>
      <c r="B181" t="s">
        <v>3670</v>
      </c>
      <c r="C181" t="s">
        <v>3671</v>
      </c>
      <c r="D181" t="s">
        <v>3670</v>
      </c>
      <c r="E181" t="s">
        <v>3671</v>
      </c>
      <c r="F181" t="s">
        <v>3242</v>
      </c>
      <c r="G181" t="s">
        <v>3687</v>
      </c>
    </row>
    <row r="182" spans="1:7" ht="11.25" customHeight="1">
      <c r="A182" t="s">
        <v>3</v>
      </c>
      <c r="B182" t="s">
        <v>3670</v>
      </c>
      <c r="C182" t="s">
        <v>3671</v>
      </c>
      <c r="D182" t="s">
        <v>3688</v>
      </c>
      <c r="E182" t="s">
        <v>3689</v>
      </c>
      <c r="F182" t="s">
        <v>3308</v>
      </c>
      <c r="G182" t="s">
        <v>3690</v>
      </c>
    </row>
    <row r="183" spans="1:7" ht="11.25" customHeight="1">
      <c r="A183" t="s">
        <v>3</v>
      </c>
      <c r="B183" t="s">
        <v>3670</v>
      </c>
      <c r="C183" t="s">
        <v>3671</v>
      </c>
      <c r="D183" t="s">
        <v>3691</v>
      </c>
      <c r="E183" t="s">
        <v>3692</v>
      </c>
      <c r="F183" t="s">
        <v>3248</v>
      </c>
      <c r="G183" t="s">
        <v>3693</v>
      </c>
    </row>
    <row r="184" spans="1:7" ht="11.25" customHeight="1">
      <c r="A184" t="s">
        <v>3</v>
      </c>
      <c r="B184" t="s">
        <v>127</v>
      </c>
      <c r="C184" t="s">
        <v>128</v>
      </c>
      <c r="D184" t="s">
        <v>127</v>
      </c>
      <c r="E184" t="s">
        <v>128</v>
      </c>
      <c r="F184" t="s">
        <v>3239</v>
      </c>
      <c r="G184" t="s">
        <v>126</v>
      </c>
    </row>
    <row r="185" spans="1:7" ht="11.25" customHeight="1">
      <c r="A185" t="s">
        <v>3</v>
      </c>
      <c r="B185" t="s">
        <v>175</v>
      </c>
      <c r="C185" t="s">
        <v>3694</v>
      </c>
      <c r="D185" t="s">
        <v>3695</v>
      </c>
      <c r="E185" t="s">
        <v>3696</v>
      </c>
      <c r="F185" t="s">
        <v>3248</v>
      </c>
      <c r="G185" t="s">
        <v>3697</v>
      </c>
    </row>
    <row r="186" spans="1:7" ht="11.25" customHeight="1">
      <c r="A186" t="s">
        <v>3</v>
      </c>
      <c r="B186" t="s">
        <v>175</v>
      </c>
      <c r="C186" t="s">
        <v>3694</v>
      </c>
      <c r="D186" t="s">
        <v>3698</v>
      </c>
      <c r="E186" t="s">
        <v>3699</v>
      </c>
      <c r="F186" t="s">
        <v>3248</v>
      </c>
      <c r="G186" t="s">
        <v>3700</v>
      </c>
    </row>
    <row r="187" spans="1:7" ht="11.25" customHeight="1">
      <c r="A187" t="s">
        <v>3</v>
      </c>
      <c r="B187" t="s">
        <v>175</v>
      </c>
      <c r="C187" t="s">
        <v>3694</v>
      </c>
      <c r="D187" t="s">
        <v>3701</v>
      </c>
      <c r="E187" t="s">
        <v>3702</v>
      </c>
      <c r="F187" t="s">
        <v>3248</v>
      </c>
      <c r="G187" t="s">
        <v>3703</v>
      </c>
    </row>
    <row r="188" spans="1:7" ht="11.25" customHeight="1">
      <c r="A188" t="s">
        <v>3</v>
      </c>
      <c r="B188" t="s">
        <v>175</v>
      </c>
      <c r="C188" t="s">
        <v>3694</v>
      </c>
      <c r="D188" t="s">
        <v>3704</v>
      </c>
      <c r="E188" t="s">
        <v>3705</v>
      </c>
      <c r="F188" t="s">
        <v>3248</v>
      </c>
      <c r="G188" t="s">
        <v>3706</v>
      </c>
    </row>
    <row r="189" spans="1:7" ht="11.25" customHeight="1">
      <c r="A189" t="s">
        <v>3</v>
      </c>
      <c r="B189" t="s">
        <v>175</v>
      </c>
      <c r="C189" t="s">
        <v>3694</v>
      </c>
      <c r="D189" t="s">
        <v>175</v>
      </c>
      <c r="E189" t="s">
        <v>3694</v>
      </c>
      <c r="F189" t="s">
        <v>3242</v>
      </c>
      <c r="G189" t="s">
        <v>3707</v>
      </c>
    </row>
    <row r="190" spans="1:7" ht="11.25" customHeight="1">
      <c r="A190" t="s">
        <v>3</v>
      </c>
      <c r="B190" t="s">
        <v>175</v>
      </c>
      <c r="C190" t="s">
        <v>3694</v>
      </c>
      <c r="D190" t="s">
        <v>3708</v>
      </c>
      <c r="E190" t="s">
        <v>3709</v>
      </c>
      <c r="F190" t="s">
        <v>3308</v>
      </c>
      <c r="G190" t="s">
        <v>3710</v>
      </c>
    </row>
    <row r="191" spans="1:7" ht="11.25" customHeight="1">
      <c r="A191" t="s">
        <v>3</v>
      </c>
      <c r="B191" t="s">
        <v>112</v>
      </c>
      <c r="C191" t="s">
        <v>113</v>
      </c>
      <c r="D191" t="s">
        <v>112</v>
      </c>
      <c r="E191" t="s">
        <v>113</v>
      </c>
      <c r="F191" t="s">
        <v>3239</v>
      </c>
      <c r="G191" t="s">
        <v>111</v>
      </c>
    </row>
    <row r="192" spans="1:7" ht="11.25" customHeight="1">
      <c r="A192" t="s">
        <v>3</v>
      </c>
      <c r="B192" t="s">
        <v>3711</v>
      </c>
      <c r="C192" t="s">
        <v>3712</v>
      </c>
      <c r="D192" t="s">
        <v>3713</v>
      </c>
      <c r="E192" t="s">
        <v>3714</v>
      </c>
      <c r="F192" t="s">
        <v>3248</v>
      </c>
      <c r="G192" t="s">
        <v>3715</v>
      </c>
    </row>
    <row r="193" spans="1:7" ht="11.25" customHeight="1">
      <c r="A193" t="s">
        <v>3</v>
      </c>
      <c r="B193" t="s">
        <v>3711</v>
      </c>
      <c r="C193" t="s">
        <v>3712</v>
      </c>
      <c r="D193" t="s">
        <v>3716</v>
      </c>
      <c r="E193" t="s">
        <v>3717</v>
      </c>
      <c r="F193" t="s">
        <v>3248</v>
      </c>
      <c r="G193" t="s">
        <v>3718</v>
      </c>
    </row>
    <row r="194" spans="1:7" ht="11.25" customHeight="1">
      <c r="A194" t="s">
        <v>3</v>
      </c>
      <c r="B194" t="s">
        <v>3711</v>
      </c>
      <c r="C194" t="s">
        <v>3712</v>
      </c>
      <c r="D194" t="s">
        <v>3719</v>
      </c>
      <c r="E194" t="s">
        <v>3720</v>
      </c>
      <c r="F194" t="s">
        <v>3248</v>
      </c>
      <c r="G194" t="s">
        <v>3721</v>
      </c>
    </row>
    <row r="195" spans="1:7" ht="11.25" customHeight="1">
      <c r="A195" t="s">
        <v>3</v>
      </c>
      <c r="B195" t="s">
        <v>3711</v>
      </c>
      <c r="C195" t="s">
        <v>3712</v>
      </c>
      <c r="D195" t="s">
        <v>3722</v>
      </c>
      <c r="E195" t="s">
        <v>3723</v>
      </c>
      <c r="F195" t="s">
        <v>3248</v>
      </c>
      <c r="G195" t="s">
        <v>3724</v>
      </c>
    </row>
    <row r="196" spans="1:7" ht="11.25" customHeight="1">
      <c r="A196" t="s">
        <v>3</v>
      </c>
      <c r="B196" t="s">
        <v>3711</v>
      </c>
      <c r="C196" t="s">
        <v>3712</v>
      </c>
      <c r="D196" t="s">
        <v>3725</v>
      </c>
      <c r="E196" t="s">
        <v>3726</v>
      </c>
      <c r="F196" t="s">
        <v>3248</v>
      </c>
      <c r="G196" t="s">
        <v>3727</v>
      </c>
    </row>
    <row r="197" spans="1:7" ht="11.25" customHeight="1">
      <c r="A197" t="s">
        <v>3</v>
      </c>
      <c r="B197" t="s">
        <v>3711</v>
      </c>
      <c r="C197" t="s">
        <v>3712</v>
      </c>
      <c r="D197" t="s">
        <v>3728</v>
      </c>
      <c r="E197" t="s">
        <v>3729</v>
      </c>
      <c r="F197" t="s">
        <v>3248</v>
      </c>
      <c r="G197" t="s">
        <v>3730</v>
      </c>
    </row>
    <row r="198" spans="1:7" ht="11.25" customHeight="1">
      <c r="A198" t="s">
        <v>3</v>
      </c>
      <c r="B198" t="s">
        <v>3711</v>
      </c>
      <c r="C198" t="s">
        <v>3712</v>
      </c>
      <c r="D198" t="s">
        <v>3731</v>
      </c>
      <c r="E198" t="s">
        <v>3732</v>
      </c>
      <c r="F198" t="s">
        <v>3248</v>
      </c>
      <c r="G198" t="s">
        <v>3733</v>
      </c>
    </row>
    <row r="199" spans="1:7" ht="11.25" customHeight="1">
      <c r="A199" t="s">
        <v>3</v>
      </c>
      <c r="B199" t="s">
        <v>3711</v>
      </c>
      <c r="C199" t="s">
        <v>3712</v>
      </c>
      <c r="D199" t="s">
        <v>3711</v>
      </c>
      <c r="E199" t="s">
        <v>3712</v>
      </c>
      <c r="F199" t="s">
        <v>3242</v>
      </c>
      <c r="G199" t="s">
        <v>3734</v>
      </c>
    </row>
    <row r="200" spans="1:7" ht="11.25" customHeight="1">
      <c r="A200" t="s">
        <v>3</v>
      </c>
      <c r="B200" t="s">
        <v>3711</v>
      </c>
      <c r="C200" t="s">
        <v>3712</v>
      </c>
      <c r="D200" t="s">
        <v>3735</v>
      </c>
      <c r="E200" t="s">
        <v>3736</v>
      </c>
      <c r="F200" t="s">
        <v>3308</v>
      </c>
      <c r="G200" t="s">
        <v>3737</v>
      </c>
    </row>
    <row r="201" spans="1:7" ht="11.25" customHeight="1">
      <c r="A201" t="s">
        <v>3</v>
      </c>
      <c r="B201" t="s">
        <v>139</v>
      </c>
      <c r="C201" t="s">
        <v>140</v>
      </c>
      <c r="D201" t="s">
        <v>139</v>
      </c>
      <c r="E201" t="s">
        <v>140</v>
      </c>
      <c r="F201" t="s">
        <v>3239</v>
      </c>
      <c r="G201" t="s">
        <v>138</v>
      </c>
    </row>
    <row r="202" spans="1:7" ht="11.25" customHeight="1">
      <c r="A202" t="s">
        <v>3</v>
      </c>
      <c r="B202" t="s">
        <v>3738</v>
      </c>
      <c r="C202" t="s">
        <v>3739</v>
      </c>
      <c r="D202" t="s">
        <v>3740</v>
      </c>
      <c r="E202" t="s">
        <v>3741</v>
      </c>
      <c r="F202" t="s">
        <v>3248</v>
      </c>
      <c r="G202" t="s">
        <v>3742</v>
      </c>
    </row>
    <row r="203" spans="1:7" ht="11.25" customHeight="1">
      <c r="A203" t="s">
        <v>3</v>
      </c>
      <c r="B203" t="s">
        <v>3738</v>
      </c>
      <c r="C203" t="s">
        <v>3739</v>
      </c>
      <c r="D203" t="s">
        <v>3743</v>
      </c>
      <c r="E203" t="s">
        <v>3744</v>
      </c>
      <c r="F203" t="s">
        <v>3248</v>
      </c>
      <c r="G203" t="s">
        <v>3745</v>
      </c>
    </row>
    <row r="204" spans="1:7" ht="11.25" customHeight="1">
      <c r="A204" t="s">
        <v>3</v>
      </c>
      <c r="B204" t="s">
        <v>3738</v>
      </c>
      <c r="C204" t="s">
        <v>3739</v>
      </c>
      <c r="D204" t="s">
        <v>3746</v>
      </c>
      <c r="E204" t="s">
        <v>3747</v>
      </c>
      <c r="F204" t="s">
        <v>3248</v>
      </c>
      <c r="G204" t="s">
        <v>3748</v>
      </c>
    </row>
    <row r="205" spans="1:7" ht="11.25" customHeight="1">
      <c r="A205" t="s">
        <v>3</v>
      </c>
      <c r="B205" t="s">
        <v>3738</v>
      </c>
      <c r="C205" t="s">
        <v>3739</v>
      </c>
      <c r="D205" t="s">
        <v>3749</v>
      </c>
      <c r="E205" t="s">
        <v>3750</v>
      </c>
      <c r="F205" t="s">
        <v>3248</v>
      </c>
      <c r="G205" t="s">
        <v>3751</v>
      </c>
    </row>
    <row r="206" spans="1:7" ht="11.25" customHeight="1">
      <c r="A206" t="s">
        <v>3</v>
      </c>
      <c r="B206" t="s">
        <v>3738</v>
      </c>
      <c r="C206" t="s">
        <v>3739</v>
      </c>
      <c r="D206" t="s">
        <v>3752</v>
      </c>
      <c r="E206" t="s">
        <v>3753</v>
      </c>
      <c r="F206" t="s">
        <v>3248</v>
      </c>
      <c r="G206" t="s">
        <v>3754</v>
      </c>
    </row>
    <row r="207" spans="1:7" ht="11.25" customHeight="1">
      <c r="A207" t="s">
        <v>3</v>
      </c>
      <c r="B207" t="s">
        <v>3738</v>
      </c>
      <c r="C207" t="s">
        <v>3739</v>
      </c>
      <c r="D207" t="s">
        <v>3738</v>
      </c>
      <c r="E207" t="s">
        <v>3739</v>
      </c>
      <c r="F207" t="s">
        <v>3242</v>
      </c>
      <c r="G207" t="s">
        <v>3755</v>
      </c>
    </row>
    <row r="208" spans="1:7" ht="11.25" customHeight="1">
      <c r="A208" t="s">
        <v>3</v>
      </c>
      <c r="B208" t="s">
        <v>3738</v>
      </c>
      <c r="C208" t="s">
        <v>3739</v>
      </c>
      <c r="D208" t="s">
        <v>3756</v>
      </c>
      <c r="E208" t="s">
        <v>3757</v>
      </c>
      <c r="F208" t="s">
        <v>3245</v>
      </c>
      <c r="G208" t="s">
        <v>3758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3" t="s">
        <v>3832</v>
      </c>
      <c r="B1" s="763" t="s">
        <v>3833</v>
      </c>
      <c r="C1" s="763" t="s">
        <v>1381</v>
      </c>
    </row>
    <row r="2" spans="1:3" ht="11.25" customHeight="1">
      <c r="A2" s="763">
        <v>4189678</v>
      </c>
      <c r="B2" s="763" t="s">
        <v>3834</v>
      </c>
      <c r="C2" s="763" t="s">
        <v>3835</v>
      </c>
    </row>
    <row r="3" spans="1:3" ht="11.25" customHeight="1">
      <c r="A3" s="763">
        <v>4190415</v>
      </c>
      <c r="B3" s="763" t="s">
        <v>3836</v>
      </c>
      <c r="C3" s="763" t="s">
        <v>3835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7" customWidth="1"/>
    <col min="2" max="5" width="9.140625" style="97"/>
  </cols>
  <sheetData>
    <row r="1" spans="1:5" ht="15" customHeight="1">
      <c r="A1" s="98" t="s">
        <v>3837</v>
      </c>
      <c r="B1" s="98" t="s">
        <v>3838</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3839</v>
      </c>
      <c r="B1" t="b">
        <v>1</v>
      </c>
    </row>
    <row r="2" spans="1:2" ht="11.25" customHeight="1">
      <c r="A2" t="s">
        <v>3840</v>
      </c>
      <c r="B2" t="b">
        <v>0</v>
      </c>
    </row>
    <row r="3" spans="1:2" ht="11.25" customHeight="1">
      <c r="A3" t="s">
        <v>3841</v>
      </c>
      <c r="B3" t="b">
        <v>1</v>
      </c>
    </row>
    <row r="4" spans="1:2" ht="11.25" customHeight="1">
      <c r="A4" t="s">
        <v>3842</v>
      </c>
      <c r="B4" t="b">
        <v>0</v>
      </c>
    </row>
    <row r="5" spans="1:2" ht="11.25" customHeight="1">
      <c r="A5" t="s">
        <v>3843</v>
      </c>
      <c r="B5" t="b">
        <v>0</v>
      </c>
    </row>
    <row r="6" spans="1:2" ht="11.25" customHeight="1">
      <c r="A6" t="s">
        <v>3844</v>
      </c>
      <c r="B6" t="b">
        <v>0</v>
      </c>
    </row>
    <row r="7" spans="1:2" ht="11.25" customHeight="1">
      <c r="A7" t="s">
        <v>3845</v>
      </c>
      <c r="B7" t="b">
        <v>0</v>
      </c>
    </row>
    <row r="8" spans="1:2" ht="11.25" customHeight="1">
      <c r="A8" t="s">
        <v>3846</v>
      </c>
      <c r="B8" t="b">
        <v>0</v>
      </c>
    </row>
    <row r="9" spans="1:2" ht="11.25" customHeight="1">
      <c r="A9" t="s">
        <v>3847</v>
      </c>
      <c r="B9" t="b">
        <v>0</v>
      </c>
    </row>
    <row r="10" spans="1:2" ht="11.25" customHeight="1">
      <c r="A10" t="s">
        <v>3848</v>
      </c>
      <c r="B10" t="b">
        <v>0</v>
      </c>
    </row>
    <row r="11" spans="1:2" ht="11.25" customHeight="1">
      <c r="A11" t="s">
        <v>3849</v>
      </c>
      <c r="B11" t="b">
        <v>0</v>
      </c>
    </row>
    <row r="12" spans="1:2" ht="11.25" customHeight="1">
      <c r="A12" t="s">
        <v>3850</v>
      </c>
      <c r="B12" t="b">
        <v>0</v>
      </c>
    </row>
    <row r="13" spans="1:2" ht="11.25" customHeight="1">
      <c r="A13" t="s">
        <v>3851</v>
      </c>
      <c r="B13" t="b">
        <v>0</v>
      </c>
    </row>
    <row r="14" spans="1:2" ht="11.25" customHeight="1">
      <c r="A14" t="s">
        <v>3852</v>
      </c>
      <c r="B14" t="b">
        <v>1</v>
      </c>
    </row>
    <row r="15" spans="1:2" ht="11.25" customHeight="1">
      <c r="A15" t="s">
        <v>3853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3785"/>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5" customWidth="1"/>
    <col min="2" max="2" width="21.140625" style="1745" customWidth="1"/>
  </cols>
  <sheetData>
    <row r="1" spans="1:2" ht="11.25" customHeight="1">
      <c r="A1" s="6" t="s">
        <v>3854</v>
      </c>
      <c r="B1" s="6" t="s">
        <v>3855</v>
      </c>
    </row>
    <row r="2" spans="1:2" ht="11.25" customHeight="1">
      <c r="A2" s="3" t="s">
        <v>3856</v>
      </c>
      <c r="B2" s="3" t="s">
        <v>3857</v>
      </c>
    </row>
    <row r="3" spans="1:2" ht="11.25" customHeight="1">
      <c r="A3" s="3" t="s">
        <v>3858</v>
      </c>
      <c r="B3" s="3" t="s">
        <v>3859</v>
      </c>
    </row>
    <row r="4" spans="1:2" ht="11.25" customHeight="1">
      <c r="A4" s="3" t="s">
        <v>3860</v>
      </c>
      <c r="B4" s="3" t="s">
        <v>3861</v>
      </c>
    </row>
    <row r="5" spans="1:2" ht="11.25" customHeight="1">
      <c r="A5" s="3" t="s">
        <v>3862</v>
      </c>
      <c r="B5" s="3" t="s">
        <v>3863</v>
      </c>
    </row>
    <row r="6" spans="1:2" ht="11.25" customHeight="1">
      <c r="A6" s="3" t="s">
        <v>3864</v>
      </c>
      <c r="B6" s="3" t="s">
        <v>3865</v>
      </c>
    </row>
    <row r="7" spans="1:2" ht="11.25" customHeight="1">
      <c r="A7" s="3" t="s">
        <v>3866</v>
      </c>
      <c r="B7" s="3" t="s">
        <v>3867</v>
      </c>
    </row>
    <row r="8" spans="1:2" ht="11.25" customHeight="1">
      <c r="A8" s="3" t="s">
        <v>3868</v>
      </c>
      <c r="B8" s="3" t="s">
        <v>3869</v>
      </c>
    </row>
    <row r="9" spans="1:2" ht="11.25" customHeight="1">
      <c r="A9" s="3" t="s">
        <v>3870</v>
      </c>
      <c r="B9" s="3" t="s">
        <v>3871</v>
      </c>
    </row>
    <row r="10" spans="1:2" ht="11.25" customHeight="1">
      <c r="A10" s="3" t="s">
        <v>3872</v>
      </c>
      <c r="B10" s="3" t="s">
        <v>3873</v>
      </c>
    </row>
    <row r="11" spans="1:2" ht="11.25" customHeight="1">
      <c r="A11" s="3" t="s">
        <v>3874</v>
      </c>
      <c r="B11" s="3" t="s">
        <v>3875</v>
      </c>
    </row>
    <row r="12" spans="1:2" ht="11.25" customHeight="1">
      <c r="A12" s="3" t="s">
        <v>3876</v>
      </c>
      <c r="B12" s="3" t="s">
        <v>3877</v>
      </c>
    </row>
    <row r="13" spans="1:2" ht="11.25" customHeight="1">
      <c r="A13" s="3" t="s">
        <v>3878</v>
      </c>
      <c r="B13" s="3" t="s">
        <v>3879</v>
      </c>
    </row>
    <row r="14" spans="1:2" ht="11.25" customHeight="1">
      <c r="A14" s="3" t="s">
        <v>3880</v>
      </c>
      <c r="B14" s="3" t="s">
        <v>3881</v>
      </c>
    </row>
    <row r="15" spans="1:2" ht="11.25" customHeight="1">
      <c r="A15" s="3" t="s">
        <v>3882</v>
      </c>
      <c r="B15" s="3" t="s">
        <v>3883</v>
      </c>
    </row>
    <row r="16" spans="1:2" ht="11.25" customHeight="1">
      <c r="A16" s="3" t="s">
        <v>3884</v>
      </c>
      <c r="B16" s="3" t="s">
        <v>3885</v>
      </c>
    </row>
    <row r="17" spans="1:2" ht="11.25" customHeight="1">
      <c r="A17" s="3" t="s">
        <v>3886</v>
      </c>
      <c r="B17" s="3" t="s">
        <v>3887</v>
      </c>
    </row>
    <row r="18" spans="1:2" ht="11.25" customHeight="1">
      <c r="A18" s="3" t="s">
        <v>3888</v>
      </c>
      <c r="B18" s="3" t="s">
        <v>3889</v>
      </c>
    </row>
    <row r="19" spans="1:2" ht="11.25" customHeight="1">
      <c r="A19" s="3" t="s">
        <v>3890</v>
      </c>
      <c r="B19" s="3" t="s">
        <v>3891</v>
      </c>
    </row>
    <row r="20" spans="1:2" ht="11.25" customHeight="1">
      <c r="A20" s="3" t="s">
        <v>3892</v>
      </c>
      <c r="B20" s="3" t="s">
        <v>3893</v>
      </c>
    </row>
    <row r="21" spans="1:2" ht="11.25" customHeight="1">
      <c r="A21" s="3" t="s">
        <v>3894</v>
      </c>
      <c r="B21" s="3" t="s">
        <v>3895</v>
      </c>
    </row>
    <row r="22" spans="1:2" ht="11.25" customHeight="1">
      <c r="A22" s="3" t="s">
        <v>3896</v>
      </c>
      <c r="B22" s="3" t="s">
        <v>3897</v>
      </c>
    </row>
    <row r="23" spans="1:2" ht="11.25" customHeight="1">
      <c r="A23" s="3" t="s">
        <v>3898</v>
      </c>
      <c r="B23" s="3" t="s">
        <v>3899</v>
      </c>
    </row>
    <row r="24" spans="1:2" ht="11.25" customHeight="1">
      <c r="A24" s="3" t="s">
        <v>3900</v>
      </c>
      <c r="B24" s="3" t="s">
        <v>3901</v>
      </c>
    </row>
    <row r="25" spans="1:2" ht="11.25" customHeight="1">
      <c r="A25" s="3" t="s">
        <v>3902</v>
      </c>
      <c r="B25" s="3" t="s">
        <v>3903</v>
      </c>
    </row>
    <row r="26" spans="1:2" ht="11.25" customHeight="1">
      <c r="A26" s="3" t="s">
        <v>3904</v>
      </c>
      <c r="B26" s="3" t="s">
        <v>3905</v>
      </c>
    </row>
    <row r="27" spans="1:2" ht="11.25" customHeight="1">
      <c r="A27" s="3" t="s">
        <v>3906</v>
      </c>
      <c r="B27" s="3" t="s">
        <v>3907</v>
      </c>
    </row>
    <row r="28" spans="1:2" ht="11.25" customHeight="1">
      <c r="A28" s="3" t="s">
        <v>3908</v>
      </c>
      <c r="B28" s="3" t="s">
        <v>3909</v>
      </c>
    </row>
    <row r="29" spans="1:2" ht="11.25" customHeight="1">
      <c r="A29" s="3" t="s">
        <v>3910</v>
      </c>
      <c r="B29" s="3" t="s">
        <v>3911</v>
      </c>
    </row>
    <row r="30" spans="1:2" ht="11.25" customHeight="1">
      <c r="A30" s="3" t="s">
        <v>3912</v>
      </c>
      <c r="B30" s="3" t="s">
        <v>3913</v>
      </c>
    </row>
    <row r="31" spans="1:2" ht="11.25" customHeight="1">
      <c r="A31" s="3" t="s">
        <v>3914</v>
      </c>
      <c r="B31" s="3" t="s">
        <v>3915</v>
      </c>
    </row>
    <row r="32" spans="1:2" ht="11.25" customHeight="1">
      <c r="A32" s="3" t="s">
        <v>3916</v>
      </c>
      <c r="B32" s="3" t="s">
        <v>3917</v>
      </c>
    </row>
    <row r="33" spans="1:2" ht="11.25" customHeight="1">
      <c r="A33" s="3" t="s">
        <v>3918</v>
      </c>
      <c r="B33" s="3" t="s">
        <v>3919</v>
      </c>
    </row>
    <row r="34" spans="1:2" ht="11.25" customHeight="1">
      <c r="A34" s="3" t="s">
        <v>3920</v>
      </c>
      <c r="B34" s="3" t="s">
        <v>3921</v>
      </c>
    </row>
    <row r="35" spans="1:2" ht="11.25" customHeight="1">
      <c r="A35" s="3" t="s">
        <v>3922</v>
      </c>
      <c r="B35" s="3" t="s">
        <v>3923</v>
      </c>
    </row>
    <row r="36" spans="1:2" ht="11.25" customHeight="1">
      <c r="A36" s="3" t="s">
        <v>3924</v>
      </c>
      <c r="B36" s="3" t="s">
        <v>3925</v>
      </c>
    </row>
    <row r="37" spans="1:2" ht="11.25" customHeight="1">
      <c r="A37" s="3" t="s">
        <v>3926</v>
      </c>
      <c r="B37" s="3" t="s">
        <v>3927</v>
      </c>
    </row>
    <row r="38" spans="1:2" ht="11.25" customHeight="1">
      <c r="A38" s="3" t="s">
        <v>3928</v>
      </c>
      <c r="B38" s="3" t="s">
        <v>3929</v>
      </c>
    </row>
    <row r="39" spans="1:2" ht="11.25" customHeight="1">
      <c r="A39" s="3" t="s">
        <v>3930</v>
      </c>
      <c r="B39" s="3" t="s">
        <v>3931</v>
      </c>
    </row>
    <row r="40" spans="1:2" ht="11.25" customHeight="1">
      <c r="A40" s="3" t="s">
        <v>3932</v>
      </c>
      <c r="B40" s="3" t="s">
        <v>3933</v>
      </c>
    </row>
    <row r="41" spans="1:2" ht="11.25" customHeight="1">
      <c r="A41" s="3" t="s">
        <v>3934</v>
      </c>
      <c r="B41" s="3" t="s">
        <v>3935</v>
      </c>
    </row>
    <row r="42" spans="1:2" ht="11.25" customHeight="1">
      <c r="A42" s="3" t="s">
        <v>3936</v>
      </c>
      <c r="B42" s="3" t="s">
        <v>3937</v>
      </c>
    </row>
    <row r="43" spans="1:2" ht="11.25" customHeight="1">
      <c r="A43" s="3" t="s">
        <v>3938</v>
      </c>
      <c r="B43" s="3" t="s">
        <v>3939</v>
      </c>
    </row>
    <row r="44" spans="1:2" ht="11.25" customHeight="1">
      <c r="A44" s="3" t="s">
        <v>3940</v>
      </c>
      <c r="B44" s="3" t="s">
        <v>3941</v>
      </c>
    </row>
    <row r="45" spans="1:2" ht="11.25" customHeight="1">
      <c r="A45" s="3" t="s">
        <v>3942</v>
      </c>
      <c r="B45" s="3" t="s">
        <v>3943</v>
      </c>
    </row>
    <row r="46" spans="1:2" ht="11.25" customHeight="1">
      <c r="A46" s="3" t="s">
        <v>3944</v>
      </c>
      <c r="B46" s="3" t="s">
        <v>3945</v>
      </c>
    </row>
    <row r="47" spans="1:2" ht="11.25" customHeight="1">
      <c r="A47" s="3" t="s">
        <v>3946</v>
      </c>
      <c r="B47" s="3" t="s">
        <v>3947</v>
      </c>
    </row>
    <row r="48" spans="1:2" ht="11.25" customHeight="1">
      <c r="A48" s="3" t="s">
        <v>3948</v>
      </c>
      <c r="B48" s="3" t="s">
        <v>3949</v>
      </c>
    </row>
    <row r="49" spans="1:2" ht="11.25" customHeight="1">
      <c r="A49" s="3" t="s">
        <v>3950</v>
      </c>
      <c r="B49" s="3" t="s">
        <v>3951</v>
      </c>
    </row>
    <row r="50" spans="1:2" ht="11.25" customHeight="1">
      <c r="A50" s="3" t="s">
        <v>3952</v>
      </c>
      <c r="B50" s="3" t="s">
        <v>3953</v>
      </c>
    </row>
    <row r="51" spans="1:2" ht="11.25" customHeight="1">
      <c r="A51" s="3" t="s">
        <v>3954</v>
      </c>
      <c r="B51" s="3" t="s">
        <v>3955</v>
      </c>
    </row>
    <row r="52" spans="1:2" ht="11.25" customHeight="1">
      <c r="A52" s="3" t="s">
        <v>3956</v>
      </c>
      <c r="B52" s="3" t="s">
        <v>3957</v>
      </c>
    </row>
    <row r="53" spans="1:2" ht="11.25" customHeight="1">
      <c r="A53" s="3" t="s">
        <v>3958</v>
      </c>
      <c r="B53" s="3" t="s">
        <v>3959</v>
      </c>
    </row>
    <row r="54" spans="1:2" ht="11.25" customHeight="1">
      <c r="A54" s="3" t="s">
        <v>3960</v>
      </c>
      <c r="B54" s="3" t="s">
        <v>3961</v>
      </c>
    </row>
    <row r="55" spans="1:2" ht="11.25" customHeight="1">
      <c r="A55" s="3" t="s">
        <v>3962</v>
      </c>
      <c r="B55" s="3" t="s">
        <v>3963</v>
      </c>
    </row>
    <row r="56" spans="1:2" ht="11.25" customHeight="1">
      <c r="A56" s="3" t="s">
        <v>3964</v>
      </c>
      <c r="B56" s="3" t="s">
        <v>3965</v>
      </c>
    </row>
    <row r="57" spans="1:2" ht="11.25" customHeight="1">
      <c r="A57" s="3" t="s">
        <v>3966</v>
      </c>
      <c r="B57" s="3" t="s">
        <v>3967</v>
      </c>
    </row>
    <row r="58" spans="1:2" ht="11.25" customHeight="1">
      <c r="A58" s="3" t="s">
        <v>3968</v>
      </c>
      <c r="B58" s="3" t="s">
        <v>3969</v>
      </c>
    </row>
    <row r="59" spans="1:2" ht="11.25" customHeight="1">
      <c r="A59" s="3" t="s">
        <v>3970</v>
      </c>
      <c r="B59" s="3" t="s">
        <v>3971</v>
      </c>
    </row>
    <row r="60" spans="1:2" ht="11.25" customHeight="1">
      <c r="A60" s="3" t="s">
        <v>3972</v>
      </c>
      <c r="B60" s="3" t="s">
        <v>3973</v>
      </c>
    </row>
    <row r="61" spans="1:2" ht="11.25" customHeight="1">
      <c r="A61" s="3"/>
      <c r="B61" s="3" t="s">
        <v>3974</v>
      </c>
    </row>
    <row r="62" spans="1:2" ht="11.25" customHeight="1">
      <c r="A62" s="3"/>
      <c r="B62" s="3" t="s">
        <v>3975</v>
      </c>
    </row>
    <row r="63" spans="1:2" ht="11.25" customHeight="1">
      <c r="A63" s="3"/>
      <c r="B63" s="3" t="s">
        <v>3976</v>
      </c>
    </row>
    <row r="64" spans="1:2" ht="11.25" customHeight="1">
      <c r="A64" s="3"/>
      <c r="B64" s="3" t="s">
        <v>3977</v>
      </c>
    </row>
    <row r="65" spans="1:2" ht="11.25" customHeight="1">
      <c r="A65" s="3"/>
      <c r="B65" s="3" t="s">
        <v>3978</v>
      </c>
    </row>
    <row r="66" spans="1:2" ht="11.25" customHeight="1">
      <c r="A66" s="3"/>
      <c r="B66" s="3" t="s">
        <v>3979</v>
      </c>
    </row>
    <row r="67" spans="1:2" ht="11.25" customHeight="1">
      <c r="A67" s="3"/>
      <c r="B67" s="3" t="s">
        <v>3980</v>
      </c>
    </row>
    <row r="68" spans="1:2" ht="11.25" customHeight="1">
      <c r="A68" s="3"/>
      <c r="B68" s="3" t="s">
        <v>3981</v>
      </c>
    </row>
    <row r="69" spans="1:2" ht="11.25" customHeight="1">
      <c r="A69" s="3"/>
      <c r="B69" s="3" t="s">
        <v>3982</v>
      </c>
    </row>
    <row r="70" spans="1:2" ht="11.25" customHeight="1">
      <c r="A70" s="3"/>
      <c r="B70" s="3" t="s">
        <v>3983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5" customWidth="1"/>
    <col min="2" max="2" width="90.7109375" style="1745" customWidth="1"/>
    <col min="3" max="4" width="9.140625" style="1745"/>
  </cols>
  <sheetData>
    <row r="1" spans="2:4" ht="11.25" customHeight="1">
      <c r="B1" s="32" t="s">
        <v>3984</v>
      </c>
    </row>
    <row r="2" spans="2:4" ht="90" customHeight="1">
      <c r="B2" s="33" t="s">
        <v>3985</v>
      </c>
    </row>
    <row r="3" spans="2:4" ht="67.5" customHeight="1">
      <c r="B3" s="33" t="s">
        <v>3986</v>
      </c>
    </row>
    <row r="4" spans="2:4" ht="33.75" customHeight="1">
      <c r="B4" s="33" t="s">
        <v>3987</v>
      </c>
    </row>
    <row r="5" spans="2:4" ht="11.25" customHeight="1">
      <c r="B5" s="33" t="s">
        <v>3988</v>
      </c>
    </row>
    <row r="6" spans="2:4" ht="22.5" customHeight="1">
      <c r="B6" s="33" t="s">
        <v>3989</v>
      </c>
    </row>
    <row r="7" spans="2:4" ht="22.5" customHeight="1">
      <c r="B7" s="33" t="s">
        <v>3990</v>
      </c>
    </row>
    <row r="8" spans="2:4" ht="22.5" customHeight="1">
      <c r="B8" s="33" t="s">
        <v>3991</v>
      </c>
    </row>
    <row r="9" spans="2:4" ht="22.5" customHeight="1">
      <c r="B9" s="33" t="s">
        <v>3992</v>
      </c>
    </row>
    <row r="10" spans="2:4" ht="56.25" customHeight="1">
      <c r="B10" s="33" t="s">
        <v>3993</v>
      </c>
    </row>
    <row r="11" spans="2:4" ht="12.75" customHeight="1">
      <c r="B11" s="94" t="s">
        <v>3994</v>
      </c>
    </row>
    <row r="12" spans="2:4" ht="11.25" customHeight="1">
      <c r="B12" s="32" t="s">
        <v>3995</v>
      </c>
    </row>
    <row r="13" spans="2:4" ht="22.5" customHeight="1">
      <c r="B13" s="33" t="s">
        <v>3996</v>
      </c>
    </row>
    <row r="14" spans="2:4" ht="67.5" customHeight="1">
      <c r="B14" s="33" t="s">
        <v>3997</v>
      </c>
    </row>
    <row r="15" spans="2:4" ht="22.5" customHeight="1">
      <c r="B15" s="33" t="s">
        <v>3998</v>
      </c>
    </row>
    <row r="16" spans="2:4" ht="11.25" customHeight="1">
      <c r="B16" s="32" t="s">
        <v>3999</v>
      </c>
      <c r="D16" s="39"/>
    </row>
    <row r="17" spans="1:2" ht="33.75" customHeight="1">
      <c r="B17" s="33" t="s">
        <v>4000</v>
      </c>
    </row>
    <row r="18" spans="1:2" ht="33.75" customHeight="1">
      <c r="B18" s="33" t="s">
        <v>4001</v>
      </c>
    </row>
    <row r="19" spans="1:2" ht="11.25" customHeight="1">
      <c r="B19" s="33" t="s">
        <v>4002</v>
      </c>
    </row>
    <row r="20" spans="1:2" ht="33.75" customHeight="1">
      <c r="B20" s="33" t="s">
        <v>4003</v>
      </c>
    </row>
    <row r="21" spans="1:2" ht="11.25" customHeight="1">
      <c r="B21" s="32" t="s">
        <v>4004</v>
      </c>
    </row>
    <row r="22" spans="1:2" ht="11.25" customHeight="1">
      <c r="B22" s="33" t="s">
        <v>4005</v>
      </c>
    </row>
    <row r="24" spans="1:2" ht="22.5" customHeight="1">
      <c r="B24" s="96" t="s">
        <v>4006</v>
      </c>
    </row>
    <row r="26" spans="1:2" ht="11.25" customHeight="1">
      <c r="B26" s="32" t="s">
        <v>4007</v>
      </c>
    </row>
    <row r="27" spans="1:2" ht="22.5" customHeight="1">
      <c r="B27" s="95" t="s">
        <v>604</v>
      </c>
    </row>
    <row r="28" spans="1:2" ht="56.25" customHeight="1">
      <c r="B28" s="95" t="s">
        <v>4008</v>
      </c>
    </row>
    <row r="29" spans="1:2" ht="11.25" customHeight="1">
      <c r="B29" s="145" t="s">
        <v>4009</v>
      </c>
    </row>
    <row r="30" spans="1:2" ht="22.5" customHeight="1">
      <c r="B30" s="95" t="s">
        <v>4010</v>
      </c>
    </row>
    <row r="32" spans="1:2" ht="11.25" customHeight="1">
      <c r="A32" s="123"/>
      <c r="B32" s="124" t="s">
        <v>4011</v>
      </c>
    </row>
    <row r="33" spans="1:2" ht="14.25" customHeight="1">
      <c r="A33" s="125">
        <v>1</v>
      </c>
      <c r="B33" s="126" t="s">
        <v>4012</v>
      </c>
    </row>
    <row r="34" spans="1:2" ht="14.25" customHeight="1">
      <c r="A34" s="125">
        <v>2</v>
      </c>
      <c r="B34" s="126" t="s">
        <v>4013</v>
      </c>
    </row>
    <row r="35" spans="1:2" ht="11.25" customHeight="1">
      <c r="B35" s="124" t="s">
        <v>4014</v>
      </c>
    </row>
    <row r="36" spans="1:2" ht="11.25" customHeight="1">
      <c r="B36" s="126" t="s">
        <v>4015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6" hidden="1" customWidth="1"/>
    <col min="2" max="3" width="9.140625" style="1559" hidden="1" customWidth="1"/>
    <col min="4" max="4" width="3" style="1737" customWidth="1"/>
    <col min="5" max="5" width="6" style="1559" customWidth="1"/>
    <col min="6" max="6" width="1.7109375" style="1559" hidden="1" customWidth="1"/>
    <col min="7" max="8" width="30" style="1559" customWidth="1"/>
    <col min="9" max="9" width="8" style="1559" customWidth="1"/>
    <col min="10" max="10" width="12.140625" style="1559" customWidth="1"/>
    <col min="11" max="11" width="46" style="1559" customWidth="1"/>
    <col min="12" max="12" width="100" style="1559" customWidth="1"/>
    <col min="13" max="13" width="7" style="1715" customWidth="1"/>
    <col min="14" max="22" width="10" style="1559" customWidth="1"/>
    <col min="23" max="23" width="10.5703125" style="1559" hidden="1"/>
  </cols>
  <sheetData>
    <row r="1" spans="1:23" s="1566" customFormat="1" ht="5.25" hidden="1" customHeight="1">
      <c r="C1" s="445"/>
      <c r="D1" s="428"/>
      <c r="F1" s="445"/>
      <c r="G1" s="423" t="s">
        <v>70</v>
      </c>
      <c r="H1" s="423" t="s">
        <v>71</v>
      </c>
      <c r="I1" s="423" t="s">
        <v>72</v>
      </c>
      <c r="P1" s="423" t="s">
        <v>70</v>
      </c>
      <c r="Q1" s="423" t="s">
        <v>71</v>
      </c>
      <c r="R1" s="423" t="s">
        <v>72</v>
      </c>
      <c r="W1" s="423" t="s">
        <v>1</v>
      </c>
    </row>
    <row r="2" spans="1:23" s="1566" customFormat="1" ht="5.25" hidden="1" customHeight="1">
      <c r="C2" s="445"/>
      <c r="D2" s="428"/>
      <c r="F2" s="445"/>
      <c r="W2" s="423">
        <v>0</v>
      </c>
    </row>
    <row r="3" spans="1:23" s="1536" customFormat="1" ht="5.25" customHeight="1">
      <c r="A3" s="413"/>
      <c r="D3" s="420"/>
      <c r="E3" s="415"/>
      <c r="F3" s="415"/>
      <c r="G3" s="415"/>
      <c r="H3" s="415"/>
      <c r="I3" s="416"/>
      <c r="J3" s="417"/>
      <c r="K3" s="417"/>
      <c r="L3" s="417"/>
      <c r="W3" s="414">
        <v>5</v>
      </c>
    </row>
    <row r="4" spans="1:23" ht="23.25" customHeight="1">
      <c r="D4" s="384"/>
      <c r="E4" s="3882" t="s">
        <v>596</v>
      </c>
      <c r="F4" s="3882"/>
      <c r="G4" s="3883"/>
      <c r="H4" s="3883"/>
      <c r="I4" s="3884"/>
      <c r="J4" s="425"/>
      <c r="K4" s="387"/>
      <c r="L4" s="387"/>
      <c r="W4" s="381">
        <v>22</v>
      </c>
    </row>
    <row r="5" spans="1:23" s="1559" customFormat="1" ht="18" customHeight="1">
      <c r="A5" s="691"/>
      <c r="D5" s="750"/>
      <c r="E5" s="4009" t="str">
        <f>IF(org=0,"Не определено",org)</f>
        <v>ООО "Смоленскрегионтеплоэнерго"</v>
      </c>
      <c r="F5" s="4009"/>
      <c r="G5" s="4010"/>
      <c r="H5" s="4010"/>
      <c r="I5" s="4011"/>
      <c r="J5" s="425"/>
      <c r="K5" s="387"/>
      <c r="L5" s="387"/>
      <c r="M5" s="441"/>
      <c r="W5" s="690">
        <v>17</v>
      </c>
    </row>
    <row r="6" spans="1:23" s="1536" customFormat="1" ht="11.45" customHeight="1">
      <c r="A6" s="413"/>
      <c r="D6" s="420"/>
      <c r="E6" s="415"/>
      <c r="F6" s="415"/>
      <c r="G6" s="418"/>
      <c r="H6" s="418"/>
      <c r="I6" s="419"/>
      <c r="J6" s="419"/>
      <c r="K6" s="686"/>
      <c r="L6" s="419"/>
      <c r="W6" s="414">
        <v>11</v>
      </c>
    </row>
    <row r="7" spans="1:23" ht="14.65" customHeight="1">
      <c r="D7" s="384"/>
      <c r="E7" s="3994" t="s">
        <v>508</v>
      </c>
      <c r="F7" s="3994"/>
      <c r="G7" s="3995"/>
      <c r="H7" s="3995"/>
      <c r="I7" s="3995"/>
      <c r="J7" s="3995"/>
      <c r="K7" s="3995"/>
      <c r="L7" s="3951" t="s">
        <v>509</v>
      </c>
      <c r="W7" s="381">
        <v>14</v>
      </c>
    </row>
    <row r="8" spans="1:23" ht="48.2" customHeight="1">
      <c r="D8" s="384"/>
      <c r="E8" s="407" t="s">
        <v>75</v>
      </c>
      <c r="F8" s="751"/>
      <c r="G8" s="399" t="s">
        <v>73</v>
      </c>
      <c r="H8" s="399" t="s">
        <v>74</v>
      </c>
      <c r="I8" s="348" t="s">
        <v>72</v>
      </c>
      <c r="J8" s="348" t="s">
        <v>597</v>
      </c>
      <c r="K8" s="348" t="s">
        <v>598</v>
      </c>
      <c r="L8" s="3951"/>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4007" t="s">
        <v>599</v>
      </c>
      <c r="M10" s="441"/>
      <c r="N10" s="439"/>
      <c r="O10" s="439"/>
      <c r="P10" s="439"/>
      <c r="Q10" s="439"/>
      <c r="R10" s="439"/>
      <c r="S10" s="439"/>
      <c r="T10" s="439"/>
      <c r="U10" s="439"/>
      <c r="V10" s="439"/>
      <c r="W10" s="381">
        <v>0</v>
      </c>
    </row>
    <row r="11" spans="1:23" ht="15" hidden="1" customHeight="1">
      <c r="A11" s="3873"/>
      <c r="B11" s="438"/>
      <c r="C11" s="438"/>
      <c r="D11" s="793"/>
      <c r="E11" s="447"/>
      <c r="F11" s="447"/>
      <c r="G11" s="447"/>
      <c r="H11" s="447"/>
      <c r="I11" s="448"/>
      <c r="J11" s="449"/>
      <c r="K11" s="647"/>
      <c r="L11" s="4020"/>
      <c r="M11" s="445"/>
      <c r="N11" s="445"/>
      <c r="O11" s="445"/>
      <c r="P11" s="450"/>
      <c r="Q11" s="450"/>
      <c r="R11" s="451"/>
      <c r="S11" s="445"/>
      <c r="T11" s="445"/>
      <c r="U11" s="445"/>
      <c r="V11" s="445"/>
      <c r="W11" s="381">
        <v>0</v>
      </c>
    </row>
    <row r="12" spans="1:23" s="1536" customFormat="1" ht="15" customHeight="1">
      <c r="A12" s="3873"/>
      <c r="B12" s="438"/>
      <c r="C12" s="438"/>
      <c r="D12" s="794"/>
      <c r="E12" s="751">
        <v>1</v>
      </c>
      <c r="F12" s="792">
        <v>23</v>
      </c>
      <c r="G12" s="791"/>
      <c r="H12" s="721"/>
      <c r="I12" s="719"/>
      <c r="J12" s="454" t="s">
        <v>53</v>
      </c>
      <c r="K12" s="1088" t="s">
        <v>15</v>
      </c>
      <c r="L12" s="4020"/>
      <c r="M12" s="445"/>
      <c r="N12" s="445"/>
      <c r="O12" s="445"/>
      <c r="P12" s="450" t="s">
        <v>600</v>
      </c>
      <c r="Q12" s="450" t="s">
        <v>601</v>
      </c>
      <c r="R12" s="451" t="s">
        <v>602</v>
      </c>
      <c r="S12" s="445" t="s">
        <v>603</v>
      </c>
      <c r="T12" s="445"/>
      <c r="U12" s="445"/>
      <c r="V12" s="445"/>
      <c r="W12" s="414">
        <v>14</v>
      </c>
    </row>
    <row r="13" spans="1:23" ht="15.75" customHeight="1">
      <c r="A13" s="3873"/>
      <c r="B13" s="439"/>
      <c r="D13" s="440"/>
      <c r="E13" s="339"/>
      <c r="F13" s="463"/>
      <c r="G13" s="350" t="s">
        <v>88</v>
      </c>
      <c r="H13" s="338"/>
      <c r="I13" s="338"/>
      <c r="J13" s="338"/>
      <c r="K13" s="337"/>
      <c r="L13" s="4008"/>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69</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2319</vt:i4>
      </vt:variant>
    </vt:vector>
  </HeadingPairs>
  <TitlesOfParts>
    <vt:vector size="2406"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pt_cs_46</vt:lpstr>
      <vt:lpstr>pt_cs_47</vt:lpstr>
      <vt:lpstr>pt_cs_48</vt:lpstr>
      <vt:lpstr>pt_cs_5</vt:lpstr>
      <vt:lpstr>pt_cs_57</vt:lpstr>
      <vt:lpstr>pt_cs_58</vt:lpstr>
      <vt:lpstr>pt_cs_6</vt:lpstr>
      <vt:lpstr>pt_cs_62</vt:lpstr>
      <vt:lpstr>pt_cs_64</vt:lpstr>
      <vt:lpstr>pt_cs_65</vt:lpstr>
      <vt:lpstr>pt_cs_66</vt:lpstr>
      <vt:lpstr>pt_cs_67</vt:lpstr>
      <vt:lpstr>pt_cs_68</vt:lpstr>
      <vt:lpstr>pt_cs_69</vt:lpstr>
      <vt:lpstr>pt_cs_7</vt:lpstr>
      <vt:lpstr>pt_cs_71</vt:lpstr>
      <vt:lpstr>pt_cs_72</vt:lpstr>
      <vt:lpstr>pt_cs_75</vt:lpstr>
      <vt:lpstr>pt_cs_8</vt:lpstr>
      <vt:lpstr>pt_cs_85</vt:lpstr>
      <vt:lpstr>pt_cs_88</vt:lpstr>
      <vt:lpstr>pt_cs_9</vt:lpstr>
      <vt:lpstr>pt_cs_90</vt:lpstr>
      <vt:lpstr>pt_cs_91</vt:lpstr>
      <vt:lpstr>pt_cs_92</vt:lpstr>
      <vt:lpstr>pt_cs_93</vt:lpstr>
      <vt:lpstr>pt_cs_94</vt:lpstr>
      <vt:lpstr>pt_cs_95</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pt_ist_te_31</vt:lpstr>
      <vt:lpstr>pt_ist_te_32</vt:lpstr>
      <vt:lpstr>pt_ist_te_33</vt:lpstr>
      <vt:lpstr>pt_ist_te_34</vt:lpstr>
      <vt:lpstr>pt_ist_te_35</vt:lpstr>
      <vt:lpstr>pt_ist_te_36</vt:lpstr>
      <vt:lpstr>pt_ist_te_37</vt:lpstr>
      <vt:lpstr>pt_ist_te_38</vt:lpstr>
      <vt:lpstr>pt_ist_te_39</vt:lpstr>
      <vt:lpstr>pt_ist_te_4</vt:lpstr>
      <vt:lpstr>pt_ist_te_40</vt:lpstr>
      <vt:lpstr>pt_ist_te_41</vt:lpstr>
      <vt:lpstr>pt_ist_te_42</vt:lpstr>
      <vt:lpstr>pt_ist_te_43</vt:lpstr>
      <vt:lpstr>pt_ist_te_46</vt:lpstr>
      <vt:lpstr>pt_ist_te_47</vt:lpstr>
      <vt:lpstr>pt_ist_te_48</vt:lpstr>
      <vt:lpstr>pt_ist_te_5</vt:lpstr>
      <vt:lpstr>pt_ist_te_57</vt:lpstr>
      <vt:lpstr>pt_ist_te_58</vt:lpstr>
      <vt:lpstr>pt_ist_te_6</vt:lpstr>
      <vt:lpstr>pt_ist_te_62</vt:lpstr>
      <vt:lpstr>pt_ist_te_64</vt:lpstr>
      <vt:lpstr>pt_ist_te_65</vt:lpstr>
      <vt:lpstr>pt_ist_te_66</vt:lpstr>
      <vt:lpstr>pt_ist_te_67</vt:lpstr>
      <vt:lpstr>pt_ist_te_68</vt:lpstr>
      <vt:lpstr>pt_ist_te_69</vt:lpstr>
      <vt:lpstr>pt_ist_te_7</vt:lpstr>
      <vt:lpstr>pt_ist_te_71</vt:lpstr>
      <vt:lpstr>pt_ist_te_72</vt:lpstr>
      <vt:lpstr>pt_ist_te_75</vt:lpstr>
      <vt:lpstr>pt_ist_te_8</vt:lpstr>
      <vt:lpstr>pt_ist_te_85</vt:lpstr>
      <vt:lpstr>pt_ist_te_88</vt:lpstr>
      <vt:lpstr>pt_ist_te_90</vt:lpstr>
      <vt:lpstr>pt_ist_te_91</vt:lpstr>
      <vt:lpstr>pt_ist_te_92</vt:lpstr>
      <vt:lpstr>pt_ist_te_93</vt:lpstr>
      <vt:lpstr>pt_ist_te_94</vt:lpstr>
      <vt:lpstr>pt_ist_te_95</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pt_ter_43</vt:lpstr>
      <vt:lpstr>pt_ter_44</vt:lpstr>
      <vt:lpstr>pt_ter_45</vt:lpstr>
      <vt:lpstr>pt_ter_46</vt:lpstr>
      <vt:lpstr>pt_ter_47</vt:lpstr>
      <vt:lpstr>pt_ter_48</vt:lpstr>
      <vt:lpstr>pt_ter_49</vt:lpstr>
      <vt:lpstr>pt_ter_5</vt:lpstr>
      <vt:lpstr>pt_ter_50</vt:lpstr>
      <vt:lpstr>pt_ter_51</vt:lpstr>
      <vt:lpstr>pt_ter_52</vt:lpstr>
      <vt:lpstr>pt_ter_53</vt:lpstr>
      <vt:lpstr>pt_ter_54</vt:lpstr>
      <vt:lpstr>pt_ter_56</vt:lpstr>
      <vt:lpstr>pt_ter_57</vt:lpstr>
      <vt:lpstr>pt_ter_59</vt:lpstr>
      <vt:lpstr>pt_ter_6</vt:lpstr>
      <vt:lpstr>pt_ter_68</vt:lpstr>
      <vt:lpstr>pt_ter_7</vt:lpstr>
      <vt:lpstr>pt_ter_71</vt:lpstr>
      <vt:lpstr>pt_ter_72</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ter_511111111111111</vt:lpstr>
      <vt:lpstr>ter_5111111111111111</vt:lpstr>
      <vt:lpstr>ter_51111111111111111</vt:lpstr>
      <vt:lpstr>ter_511111111111111111</vt:lpstr>
      <vt:lpstr>ter_5111111111111111111</vt:lpstr>
      <vt:lpstr>ter_51111111111111111111</vt:lpstr>
      <vt:lpstr>ter_511111111111111111111</vt:lpstr>
      <vt:lpstr>ter_5111111111111111111111</vt:lpstr>
      <vt:lpstr>ter_51111111111111111111111</vt:lpstr>
      <vt:lpstr>ter_511111111111111111111111</vt:lpstr>
      <vt:lpstr>ter_5111111111111111111111111</vt:lpstr>
      <vt:lpstr>ter_51111111111111111111111111111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2025-04-28T11:08:57Z</dcterms:modified>
</cp:coreProperties>
</file>